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0" yWindow="1716" windowWidth="15480" windowHeight="11040" tabRatio="488" firstSheet="1" activeTab="1"/>
  </bookViews>
  <sheets>
    <sheet name="источ.фин.деф пр1,2" sheetId="1" state="hidden" r:id="rId1"/>
    <sheet name="приложение 3" sheetId="2" r:id="rId2"/>
    <sheet name="черн" sheetId="3" state="hidden" r:id="rId3"/>
    <sheet name="прил 3" sheetId="4" state="hidden" r:id="rId4"/>
    <sheet name="продолжение прил 3" sheetId="5" state="hidden" r:id="rId5"/>
    <sheet name="прил 4" sheetId="6" state="hidden" r:id="rId6"/>
    <sheet name="продолжение прил 4" sheetId="7" state="hidden" r:id="rId7"/>
    <sheet name="приложение 4" sheetId="8" r:id="rId8"/>
  </sheets>
  <externalReferences>
    <externalReference r:id="rId11"/>
  </externalReferences>
  <definedNames>
    <definedName name="_xlnm.Print_Area" localSheetId="0">'источ.фин.деф пр1,2'!$A$1:$F$87</definedName>
    <definedName name="_xlnm.Print_Area" localSheetId="5">'прил 4'!$A$1:$D$25</definedName>
    <definedName name="_xlnm.Print_Area" localSheetId="7">'приложение 4'!$A$1:$M$127</definedName>
    <definedName name="_xlnm.Print_Area" localSheetId="2">'черн'!$A$1:$Z$232</definedName>
  </definedNames>
  <calcPr fullCalcOnLoad="1"/>
</workbook>
</file>

<file path=xl/sharedStrings.xml><?xml version="1.0" encoding="utf-8"?>
<sst xmlns="http://schemas.openxmlformats.org/spreadsheetml/2006/main" count="1426" uniqueCount="788">
  <si>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</si>
  <si>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</si>
  <si>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</si>
  <si>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</si>
  <si>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организаций</t>
  </si>
  <si>
    <t>Налог на имущество организаций по имуществу, не входящему в Единую систему газоснабжения</t>
  </si>
  <si>
    <t>НАЛОГИ, СБОРЫ И РЕГУЛЯРНЫЕ ПЛАТЕЖИ ЗА ПОЛЬЗОВАНИЕ ПРИРОДНЫМИ РЕСУРСАМИ</t>
  </si>
  <si>
    <t>Продажа  акций и иных форм участия в капитале, находящихся в   собственности муниципальных районов</t>
  </si>
  <si>
    <t>000 06 00 00 00 00 0000 000</t>
  </si>
  <si>
    <t xml:space="preserve">Земельные участки ,  находящиеся в государственной и муниципальной собственности </t>
  </si>
  <si>
    <t>000 06 00 00 00 00 0000 430</t>
  </si>
  <si>
    <t>Продажа (уменьшение собственности ) земельных участков , находящихся в государственной и муниципальной собственности</t>
  </si>
  <si>
    <t>000 06 01 00 00 00 0000 430</t>
  </si>
  <si>
    <t>Земельные участки до разграничения  государственной собственности на землю</t>
  </si>
  <si>
    <t>000 06 01 00 00 05 0000 430</t>
  </si>
  <si>
    <t>Продажа земельных участков до разграничения государственной собственности на землю, на которых расположены объекты недвижимого имущества, зачисляемые в бюджеты муниципальных районнов</t>
  </si>
  <si>
    <t>000 04 01 00 00 00 0000 000</t>
  </si>
  <si>
    <t>Исполнение государственных и муниципальных гарантий в валюте РФ</t>
  </si>
  <si>
    <t>000 04 01 00 00 00 0000 800</t>
  </si>
  <si>
    <t>Исполение государственных и муниципальных гарантий в валюте РФ, если платежи гаранта не ведут к возникновению эквивалентных требований со стороны гаранта к должнику, не исполнившему обязательство</t>
  </si>
  <si>
    <t>000 04 01 00 00 05 0000 810</t>
  </si>
  <si>
    <t>Государственые гарантии муниципальных районнов в валюте РФ</t>
  </si>
  <si>
    <t xml:space="preserve">                                                                                                          Совета депутатов администрации</t>
  </si>
  <si>
    <t xml:space="preserve">                                                                                                          МО "Улаганский район"</t>
  </si>
  <si>
    <t xml:space="preserve">                                                                                                          от ______________ №__________</t>
  </si>
  <si>
    <t>Источники финансирования дефицита республиканского бюджета на 2006 год</t>
  </si>
  <si>
    <t>Код бюджетной классификации</t>
  </si>
  <si>
    <t>Наименование источника</t>
  </si>
  <si>
    <t>сумма, тыс. руб.</t>
  </si>
  <si>
    <t>Дефицит бюджета</t>
  </si>
  <si>
    <t>в том числе дефицит без учета целевых остатков</t>
  </si>
  <si>
    <t>Источники внутреннего финансирования  дефицита бюджета:</t>
  </si>
  <si>
    <t>в том числе</t>
  </si>
  <si>
    <t>092 08 00 00 00 00 0000 000</t>
  </si>
  <si>
    <t>остатки средств бюджетов</t>
  </si>
  <si>
    <t xml:space="preserve">в том числе  </t>
  </si>
  <si>
    <t>остатки средств, не имеющих целевого направления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</si>
  <si>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</si>
  <si>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</si>
  <si>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</si>
  <si>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</t>
  </si>
  <si>
    <t>000  2  02  03070  00  0000  151</t>
  </si>
  <si>
    <t>000  2  02  03070  05  0000  151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</si>
  <si>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</t>
  </si>
  <si>
    <t>Прочие доходы от оказания платных услуг и компенсации затрат государства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</si>
  <si>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</si>
  <si>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000  1  13  03050  10  0000  130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</si>
  <si>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</si>
  <si>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</si>
  <si>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</si>
  <si>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</si>
  <si>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</si>
  <si>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</si>
  <si>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</si>
  <si>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</si>
  <si>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</si>
  <si>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000  1  16  25000  01  0000  140</t>
  </si>
  <si>
    <t>Денежные взыскания (штрафы) за нарушение законодательства об особо охраняемых природных территориях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</si>
  <si>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</si>
  <si>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</si>
  <si>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</si>
  <si>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лесного законодательства</t>
  </si>
  <si>
    <t>Денежные взыскания (штрафы) за нарушение лесного законодательства, установленное на лесных участках, находящихся в собственности муниципальных районов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</si>
  <si>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</si>
  <si>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</si>
  <si>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</si>
  <si>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000  1  16  33000  00  0000  140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</si>
  <si>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</si>
  <si>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000  1  16  33050  05  0000  140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</si>
  <si>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</si>
  <si>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</si>
  <si>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</si>
  <si>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000  1  16  90050  05  0000  140</t>
  </si>
  <si>
    <t>ПРОЧИЕ НЕНАЛОГОВЫЕ ДОХОДЫ</t>
  </si>
  <si>
    <t>Прочие неналоговые доходы</t>
  </si>
  <si>
    <t>Прочие неналоговые доходы бюджетов муниципальных районов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</si>
  <si>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</si>
  <si>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</si>
  <si>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</si>
  <si>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</si>
  <si>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</si>
  <si>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</si>
  <si>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</si>
  <si>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</si>
  <si>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Изменение (+,-)</t>
  </si>
  <si>
    <t>Утвержденный план</t>
  </si>
  <si>
    <t>Налог, взимаемый с налогоплательщиков, выбравших в качестве объекта налогообложения  доходы</t>
  </si>
  <si>
    <t>182  1   05 01011  01  0000 110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</si>
  <si>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</si>
  <si>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182  1  05  01021  01  0000  110</t>
  </si>
  <si>
    <t>182  1 05   01022  01  0000 110</t>
  </si>
  <si>
    <t>Единый налог на вмененный доход для отдельных видов деятельности (за налоговые периоды, истекшие до 1 января 2011 года)</t>
  </si>
  <si>
    <t>182  1 05   03010   01  0000 110</t>
  </si>
  <si>
    <t>182  1  05  02020  02  0000  110</t>
  </si>
  <si>
    <t>182  1  05  02010  02  0000  110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</si>
  <si>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</si>
  <si>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</si>
  <si>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</si>
  <si>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</si>
  <si>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</si>
  <si>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</si>
  <si>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1  1  16  25000  01  0000  140</t>
  </si>
  <si>
    <t>2  1  16  25000  01  0000  140</t>
  </si>
  <si>
    <t>3  1  16  25000  01  0000  140</t>
  </si>
  <si>
    <t>4  1  16  25000  01  0000  140</t>
  </si>
  <si>
    <t>5  1  16  25000  01  0000  140</t>
  </si>
  <si>
    <t>Субвенции бюджетам на обеспечение жильем отдельных категорий граждан, установленных Федеральными законами от 12 января 1995 года      № 5-ФЗ "О  ветеранах" и от 24 ноября 1995 года              № 181-ФЗ "О социальной защите инвалидов в Российской Федерации"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</si>
  <si>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 ветеранах" и от 24 ноября 1995 года № 181-ФЗ "О социальной защите инвалидов в Российской Федерации"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</si>
  <si>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</si>
  <si>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</si>
  <si>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092 1  08  07080  01   0000 110</t>
  </si>
  <si>
    <t>000  1  08  00000  00  0000  000</t>
  </si>
  <si>
    <t xml:space="preserve"> 092 1  08  07084  01   0000 110</t>
  </si>
  <si>
    <t>Субвенции бюджетам муниципальных районов на  ежемесячное денежное вознаграждение за классное руководство</t>
  </si>
  <si>
    <t>93  2  02  03029  05  0000  151</t>
  </si>
  <si>
    <t>94  2  02  03029  05  0000  151</t>
  </si>
  <si>
    <t>95  2  02  03029  05  0000  151</t>
  </si>
  <si>
    <t>96  2  02  03029  05  0000  151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</si>
  <si>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</si>
  <si>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</si>
  <si>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092  2  02  04014  00   0000 151</t>
  </si>
  <si>
    <t>092  2  02  04014  05   0000 151</t>
  </si>
  <si>
    <t>Приложение 1
к решению «О бюджете муниципального образования "Улаганский район" на 2011 год и на плановый период 2012 и 2013 годов»                            от «28»  апреля 2011 года    №</t>
  </si>
  <si>
    <t xml:space="preserve">Субсидии бюджетам на развитие социальной и инженерной инфраструктуры субъектов Российской Федерации и муниципальных образований </t>
  </si>
  <si>
    <t>000  2  02  02004  00  0000  151</t>
  </si>
  <si>
    <t xml:space="preserve"> Субсидии бюджетам муниципальных районов на развитие социальной и инженерной инфраструктуры муниципальных образований 399</t>
  </si>
  <si>
    <t>000  2  02  02004  05  0000  151</t>
  </si>
  <si>
    <t xml:space="preserve">Субсидии бюджетам на обеспечение жильем молодых семей </t>
  </si>
  <si>
    <t>000  2  02  02008  00  0000  151</t>
  </si>
  <si>
    <t>Субсидии бюджетам муниципальных районов на обеспечение жильем молодых семей</t>
  </si>
  <si>
    <t>000  2  02  02008  05  0000  151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</si>
  <si>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</si>
  <si>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000  2  02  02009  00  0000  151</t>
  </si>
  <si>
    <t>Субсидии бюджетам муниципальных районов на государственную поддержку малого и среднего предпринимательства, включая     крестьянские (фермерские) хозяйства</t>
  </si>
  <si>
    <t>000  2  02  02009  05  0000  151</t>
  </si>
  <si>
    <t>Субсидии         бюджетам         на       внедрение инновационных    образовательных программ</t>
  </si>
  <si>
    <t>000  2  02  02022  00  0000  151</t>
  </si>
  <si>
    <t>092  2  02  03070  05  0000  151</t>
  </si>
  <si>
    <t>092  2  02  03070  00  0000  151</t>
  </si>
  <si>
    <t>092  2  02  03055  05  0000  151</t>
  </si>
  <si>
    <t>092  2  02  03055  00  0000  151</t>
  </si>
  <si>
    <t>092  2  02  03029  05  0000  151</t>
  </si>
  <si>
    <t>092  2  02  03029  00  0000  151</t>
  </si>
  <si>
    <t>092  2  02  03027  05  0000  151</t>
  </si>
  <si>
    <t>092  2  02  03026  05  0000  151</t>
  </si>
  <si>
    <t>092  2  02  03026  00  0000  151</t>
  </si>
  <si>
    <t>092  2  02  03024  05  0000  151</t>
  </si>
  <si>
    <t>092  2  02  03024  00  0000  151</t>
  </si>
  <si>
    <t>092  2  02  03022  05  0000  151</t>
  </si>
  <si>
    <t>092  2  02  03013  05  0000  151</t>
  </si>
  <si>
    <t>092  2  02  03013  00  0000  151</t>
  </si>
  <si>
    <t>092  2  02  03009  05  0000  151</t>
  </si>
  <si>
    <t>092  2  02  03009  00  0000  151</t>
  </si>
  <si>
    <t>092  2  02  03008  05  0000  151</t>
  </si>
  <si>
    <t>092 2  02  03008  00  0000  151</t>
  </si>
  <si>
    <t>092  2  02  03007  05  0000  151</t>
  </si>
  <si>
    <t>092  2  02  03007  00  0000  151</t>
  </si>
  <si>
    <t>092  2  02  03004  05  0000  151</t>
  </si>
  <si>
    <t>092  2  02  03004  00  0000  151</t>
  </si>
  <si>
    <t>092  2  02  03002  05  0000  151</t>
  </si>
  <si>
    <t>092  2  02  03001  00  0000  151</t>
  </si>
  <si>
    <t>092  2  02  03001  05  0000  151</t>
  </si>
  <si>
    <t>092  2  02  03000  00  0000  151</t>
  </si>
  <si>
    <t>Государственная пошлина за проведение уполномоченными органами исполнительной власти субъектов Российской Федерации государственного технического осмотра, регистрации тракторов, самоходных и иных машин, за выдачу удостоверений тракториста-машиниста (тракториста)</t>
  </si>
  <si>
    <t>182  1  08  07142  01  0000 110</t>
  </si>
  <si>
    <t>000 1 11 05013 10 0000 120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</si>
  <si>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</si>
  <si>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498  1  12  01010  01  0000  120</t>
  </si>
  <si>
    <t>498  1  12  01020  01  0000  120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</si>
  <si>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</si>
  <si>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</si>
  <si>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000 1 13 01995 05 0000 130</t>
  </si>
  <si>
    <t>Прочие доходы от оказания платных услуг (работ) получателями средств  бюджетов муниципальных районов</t>
  </si>
  <si>
    <t>092  2  02  02999  05  0000  151</t>
  </si>
  <si>
    <t>092  2  02  02999  00  0000  151</t>
  </si>
  <si>
    <t>092  2  02  02068  05  0000  151</t>
  </si>
  <si>
    <t>092  2  02  02068  00  0000  151</t>
  </si>
  <si>
    <t>092  2  02  02000  00  0000  151</t>
  </si>
  <si>
    <t>092  2  02  01003  05  0000  151</t>
  </si>
  <si>
    <t>092  2  02  01003  00  0000  151</t>
  </si>
  <si>
    <t>092  2  02  01001  05  0000  151</t>
  </si>
  <si>
    <t>092  2  02  01001  00  0000  151</t>
  </si>
  <si>
    <t>092  2  02  01000  00  0000  151</t>
  </si>
  <si>
    <t>092  2  02  00000  00  0000  000</t>
  </si>
  <si>
    <t>498  1  12  00000  00  0000  000</t>
  </si>
  <si>
    <t>498  1  12  01000  01  0000  120</t>
  </si>
  <si>
    <t xml:space="preserve"> Субсидии бюджетам муниципальных районов  на внедрение инновационных образовательных программ</t>
  </si>
  <si>
    <t>000  2  02  02022  05  0000  151</t>
  </si>
  <si>
    <t>Субвенции бюджетам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</t>
  </si>
  <si>
    <t>Субвенции бюджетам муниципальных районов на 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</t>
  </si>
  <si>
    <t>Субвенции бюджетам муниципальных образований на оздоровление детей</t>
  </si>
  <si>
    <t>Субвенции бюджетам муниципальных районов на оздоровление детей</t>
  </si>
  <si>
    <t>000  2  02  03033  05  0000  151</t>
  </si>
  <si>
    <t>000 01 06 00 00 00 0000 000</t>
  </si>
  <si>
    <t>Иные источники внутреннего финансирования дефицитов бюджетов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</si>
  <si>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</si>
  <si>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</si>
  <si>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000 01 06 05 00 00 0000 500</t>
  </si>
  <si>
    <t xml:space="preserve">Предоставление бюджетных кредитов внутри страны в валюте Российской Федерации
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</si>
  <si>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</si>
  <si>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</si>
  <si>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поселения</t>
  </si>
  <si>
    <t>Приложение 2
к решению «О бюджете муниципального образования "Улаганский район" на 2011 год и на плановый период 2012 и 2013 годов»                            от «16»  декабря 2010 года    №</t>
  </si>
  <si>
    <t>182  1  01  02000  01  0000  110</t>
  </si>
  <si>
    <t>182  1  01  02020  01  0000  110</t>
  </si>
  <si>
    <t>182  1  01  02030  01  0000  110</t>
  </si>
  <si>
    <t>Минимальный налог</t>
  </si>
  <si>
    <t>182  1 05   01050  01  0000 110</t>
  </si>
  <si>
    <t>182  1  05  00000  00  0000  000</t>
  </si>
  <si>
    <t>182  1  05  01000  00  0000  110</t>
  </si>
  <si>
    <t>182  1  05  01010  01  0000  110</t>
  </si>
  <si>
    <t>182  1  05  01020  01  0000  110</t>
  </si>
  <si>
    <t>182  1  05  02000  02  0000  110</t>
  </si>
  <si>
    <t>182  1  05  03000  01  0000  110</t>
  </si>
  <si>
    <t>182  1  06  00000  00  0000  000</t>
  </si>
  <si>
    <t>182  1  06  02000  02  0000  110</t>
  </si>
  <si>
    <t>182  1  06  02010  02  0000  110</t>
  </si>
  <si>
    <t>182  1  07  00000  00  0000  000</t>
  </si>
  <si>
    <t>182  1  07  01000  01  0000  110</t>
  </si>
  <si>
    <t>182  1  07  01020  01  0000  110</t>
  </si>
  <si>
    <t>182  1  08  03000  01  0000  110</t>
  </si>
  <si>
    <t>182  1  08  03010  01  0000  110</t>
  </si>
  <si>
    <t>182  1  08  07000  01  0000  110</t>
  </si>
  <si>
    <t>182  1  08  07140  01  0000  110</t>
  </si>
  <si>
    <t>182  1  09  00000  00  0000  000</t>
  </si>
  <si>
    <t>182  1  09  06040  02  0000  110</t>
  </si>
  <si>
    <t>182  1  09  06044  02  0000  110</t>
  </si>
  <si>
    <t>092  1  11  00000  00  0000  000</t>
  </si>
  <si>
    <t>092  1  11  05000  00  0000  120</t>
  </si>
  <si>
    <t>092  1  11  05010  00  0000  120</t>
  </si>
  <si>
    <t>092 1  11  05030  00  0000  120</t>
  </si>
  <si>
    <t>092  1  11  05035  05  0000  120</t>
  </si>
  <si>
    <t>092  1  17  00000  00  0000  000</t>
  </si>
  <si>
    <t>092  1  17  05000  00  0000  180</t>
  </si>
  <si>
    <t>092  1  17  05050  05  0000  180</t>
  </si>
  <si>
    <t>092  2  00  00000  00  0000  000</t>
  </si>
  <si>
    <t>Прочие субвенции</t>
  </si>
  <si>
    <t>092  2  02  03999  00  0000  151</t>
  </si>
  <si>
    <t>Прочие субвенции бюджетам муниципальных районов</t>
  </si>
  <si>
    <t>092  2  02  03999  05  0000  151</t>
  </si>
  <si>
    <t>ПРОЧИЕ БЕЗВОЗМЕЗДНЫЕ ПОСТУПЛЕНИЯ</t>
  </si>
  <si>
    <t>000  2  07  00000  00  0000  180</t>
  </si>
  <si>
    <t>Прочие безвозмездные поступления в бюджеты муниципальных районов</t>
  </si>
  <si>
    <t>000  2  07  05000  05  0000  180</t>
  </si>
  <si>
    <t>ДОХОДЫ ОТ ПРЕДПРИНИМАТЕЛЬСКОЙ И ИНОЙ ПРИНОСЯЩЕЙ ДОХОД ДЕЯТЕЛЬНОСТИ</t>
  </si>
  <si>
    <t>000  3  00  00000  00  0000  000</t>
  </si>
  <si>
    <t>РЫНОЧНЫЕ ПРОДАЖИ ТОВАРОВ И УСЛУГ</t>
  </si>
  <si>
    <t>000  3  02  00000  00  0000  000</t>
  </si>
  <si>
    <t>Доходы от продажи услуг</t>
  </si>
  <si>
    <t>000  3  02  01000  00  0000  130</t>
  </si>
  <si>
    <t>Доходы от продажи услуг, оказываемых учреждениями, находящимися в ведении органов местного самоуправления муниципальных районов</t>
  </si>
  <si>
    <t>000  3  02  01050  05  0000  130</t>
  </si>
  <si>
    <t>БЕЗВОЗМЕЗДНЫЕ ПОСТУПЛЕНИЯ ОТ ПРЕДПРИНИМАТЕЛЬСКОЙ И ИНОЙ ПРИНОСЯЩЕЙ ДОХОД ДЕЯТЕЛЬНОСТИ</t>
  </si>
  <si>
    <t>000  3  03  00000  00  0000  000</t>
  </si>
  <si>
    <t>Прочие безвозмездные поступления</t>
  </si>
  <si>
    <t>000  3  03  02000  00  0000  180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</si>
  <si>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</si>
  <si>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000  3  03  02050  05  0000  180</t>
  </si>
  <si>
    <t>ВСЕГО ДОХОДОВ</t>
  </si>
  <si>
    <t>остатки средств, имеющих целевое направление</t>
  </si>
  <si>
    <t>000 08 02 01 00 05 0000 610</t>
  </si>
  <si>
    <t>Уменьшение прочих остатков денежных средств бюджетов муниципальных районов</t>
  </si>
  <si>
    <t>000 02 01 00 00 00 0000 000</t>
  </si>
  <si>
    <t>Кредитные соглашения и договоры, заключенные от имени РФ,субъектов РФ,муниципальных образований,государственных внебюджетных фондов,указанные в валюте РФ</t>
  </si>
  <si>
    <t>000 02 01 00 00 00 0000 700</t>
  </si>
  <si>
    <t xml:space="preserve">Получение кредитов по кредитным соглашениям  и договорам , заключенным от имени Российской Федерации ,субъектов Российской Федерации , муниципальных образований, государственных внебюджетных фондов,указанным в валюте Российской Федерации </t>
  </si>
  <si>
    <t>092 02 01 01 00 00 0000 710</t>
  </si>
  <si>
    <t>Бюджетные кредиты, полученные  от других бюджетов бюджетной системы РФ</t>
  </si>
  <si>
    <t>092 02 01 01 00 05 0000 710</t>
  </si>
  <si>
    <t>Бюджетные кредиты, полученные  от других бюджетов бюджетной системы РФ бюджетами муниципальных районов</t>
  </si>
  <si>
    <t xml:space="preserve">Министерство финансов РА (бюджетные кредиты  Министерства финансов РФ 2005 года на кассовый разрыв) </t>
  </si>
  <si>
    <t>092 02 01 02 00 00 0000 710</t>
  </si>
  <si>
    <t xml:space="preserve">Кредиты полученные в валюте РФ от кредитных организаций </t>
  </si>
  <si>
    <t>092 02 01 02 00 02 0000 810</t>
  </si>
  <si>
    <t>Кредиты полученные в валюте РФ от кредитных организаций бюджетами муниципальных районов</t>
  </si>
  <si>
    <t>000 02 01 00 00 00 0000 800</t>
  </si>
  <si>
    <t>Погашение кредитов по кредитным соглашениям и договорам, заключенным от имени Российсской Федерации,субъетов Российской Федерации,муниципальных образований ,государственных внебюджетных фондов ,указанным в валюте Российской Федерации</t>
  </si>
  <si>
    <t>000 02 01 01 00 00 0000 810</t>
  </si>
  <si>
    <t>Бюджетные кредиты полученные от друких бюджетов бюджетной системы Российской Федерации</t>
  </si>
  <si>
    <t>000 02 01 01 00 05 0000 810</t>
  </si>
  <si>
    <t>Бюджетные кредиты полученные от друких бюджетов бюджетной системы Российской Федерации бюджетами муниципальных районов</t>
  </si>
  <si>
    <t>000 02 01 02 00 00 0000 810</t>
  </si>
  <si>
    <t>Межбюджетные трансферты, передаваемые бюджетам на реализацию программ модернизации здравоохранения</t>
  </si>
  <si>
    <t>Межбюджетные трансферты, передаваемые бюджетам на реализацию программ модернизации здравоохранения в части укрепления материально-технической базы медицинских учреждений</t>
  </si>
  <si>
    <t>Межбюджетные трансферты, передаваемые бюджетам муниципальных районов на реализацию региональных программ модернизации здравоохранения субъектов Российской Федерации в части укрепления материально-технической базы медицинских учреждений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</si>
  <si>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</si>
  <si>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</si>
  <si>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</si>
  <si>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</si>
  <si>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</si>
  <si>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</si>
  <si>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Приложение  3</t>
  </si>
  <si>
    <t xml:space="preserve">к пояснительной записке </t>
  </si>
  <si>
    <t>к проекту Решения Совета депутатов</t>
  </si>
  <si>
    <t>МО "Улаганский район"</t>
  </si>
  <si>
    <t xml:space="preserve">"О районном бюджете </t>
  </si>
  <si>
    <t>Показатели</t>
  </si>
  <si>
    <t>по консолидированному бюджету МО "Улаганский район"</t>
  </si>
  <si>
    <t>по районному бюджету МО "Улаганский район"</t>
  </si>
  <si>
    <t>1. Налог на доходы физических лиц с доходов, облагаемых по ставке 13%, полученных физическими лицами, источниками которых являются налоговые агенты</t>
  </si>
  <si>
    <t>Фонд начисленной заработной платы (общая сумма дохода)</t>
  </si>
  <si>
    <t>х</t>
  </si>
  <si>
    <t xml:space="preserve">Общая сумма необлагаемых доходов и налоговых вычетов, предоставленных налоговыми агентами, уменьшающих общую сумму дохода </t>
  </si>
  <si>
    <t>Облагаемая сумма дохода</t>
  </si>
  <si>
    <t xml:space="preserve">Сумма исчисленного налога на доходы физических лиц </t>
  </si>
  <si>
    <t>Дополнительные поступления налога на доходы физических лиц</t>
  </si>
  <si>
    <t>Итого сумма налога на доходы физических лиц с доходов, облагаемых по ставке 13%, полученных физическими лицами, источниками  которых являются налоговые агенты</t>
  </si>
  <si>
    <t>2. Налог на доходы физических лиц с прочих видов доходных источников</t>
  </si>
  <si>
    <t>Итого сумма налога на доходы физических лиц с прочих видов доходных источников</t>
  </si>
  <si>
    <t>3. Прогноз поступлений налога на доходы физических лиц  по всем видам доходных источников</t>
  </si>
  <si>
    <t xml:space="preserve">                                Продолжение приложения № 3</t>
  </si>
  <si>
    <t>Приложение  4</t>
  </si>
  <si>
    <t xml:space="preserve">к проекту Решения Совета депутатов </t>
  </si>
  <si>
    <t xml:space="preserve">"О бюджете МО "Улаганский район" </t>
  </si>
  <si>
    <t>№ п/п</t>
  </si>
  <si>
    <t>Эффективная ставка налога на имущество организаций,  %</t>
  </si>
  <si>
    <t>в том числе:</t>
  </si>
  <si>
    <t xml:space="preserve"> 3.1</t>
  </si>
  <si>
    <t xml:space="preserve"> 6.1</t>
  </si>
  <si>
    <t>Дополнительные поступления налога на имущество организаций, тыс. рублей</t>
  </si>
  <si>
    <t>Продолжение приложения № 4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</si>
  <si>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</si>
  <si>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Субсидии бюджетам муниципальных районов на реализацию программы энергосбережения и повышения энергетической эффективности на период до 2020 года</t>
  </si>
  <si>
    <t>498  1  12  01030  01  0000  120</t>
  </si>
  <si>
    <t>498  1  12  01040  01  0000  120</t>
  </si>
  <si>
    <t>092  2  02  02150  05  0000  151</t>
  </si>
  <si>
    <t>092  2  02  02150  00  0000  151</t>
  </si>
  <si>
    <t>Сумма на 2015 год     тыс.рублей</t>
  </si>
  <si>
    <t>Рост стоимости основных фондов по полной учетной стоимости на конец года по отношению к предыдущему году</t>
  </si>
  <si>
    <t>Сумма налога на имущество организаций за 2014 год, тыс. рублей</t>
  </si>
  <si>
    <t xml:space="preserve">Сумма налога на имущество организаций подлежащая уплате в 2014 году  (стр. 3.1 + стр. 6.1), тыс. рублей  </t>
  </si>
  <si>
    <t>Налоговая база для исчисления налога на имущество организаций за 2015 год, тыс. рублей</t>
  </si>
  <si>
    <t>сумма авансовых платежей по налогу на имущество организаций подлежащих уплате в 2015 году (квартальные расчеты), тыс. рублей</t>
  </si>
  <si>
    <t xml:space="preserve">Общая сумма налога на имущество организаций, подлежащая уплате в консолидированный бюджет Республики Алтай в 2015 году, тыс. рублей </t>
  </si>
  <si>
    <t>Прогноз поступлений налога на имущество организаций на 2015 год</t>
  </si>
  <si>
    <t>Налоговая база для исчисления налога на имущество организаций за 2013 год, тыс. рублей</t>
  </si>
  <si>
    <t>Сумма налога на имущество организаций за 2013 год, тыс. рублей</t>
  </si>
  <si>
    <t>Прогноз поступлений налога на имущество организаций на 2014 год</t>
  </si>
  <si>
    <t>Налоговая база для исчисления налога на имущество организаций за 2014 год, тыс. рублей</t>
  </si>
  <si>
    <t>сумма авансовых платежей по налогу на имущество организаций подлежащих уплате в 2014 году (квартальные расчеты), тыс. рублей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</si>
  <si>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</si>
  <si>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</si>
  <si>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Субсидии бюджетам муниципальных районов на поддержку экономического и социального развития коренных малочисленных народов Севера, Сибири и Дальнего Востока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</si>
  <si>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</si>
  <si>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</si>
  <si>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Межбюджетные трансферты местным бюджетам на реализацию дополнительных мероприятий, направленных на снижение напряженности на рынке труда</t>
  </si>
  <si>
    <t>Межбюджетные трансферты, передаваемые бюджетам муниципальных районов на реализацию дополнительных мероприятий, направленных на снижение напряженности на рынке труда</t>
  </si>
  <si>
    <t>092  2  02  02100  00  0000  151</t>
  </si>
  <si>
    <t>092  2  02  02100  05  0000  151</t>
  </si>
  <si>
    <t>092  2  02  02105  00  0000  151</t>
  </si>
  <si>
    <t>092  2  02  02105  05  0000  151</t>
  </si>
  <si>
    <t>092  2  02  02085  00  0000  151</t>
  </si>
  <si>
    <t>092  2  02  02085  05  0000  151</t>
  </si>
  <si>
    <t xml:space="preserve">Межбюджетные трансферты </t>
  </si>
  <si>
    <t>092  2  02  04000  00   0000 151</t>
  </si>
  <si>
    <t>092  2  02  04029  00  0000  151</t>
  </si>
  <si>
    <t>092  2  02  04029  05  0000  151</t>
  </si>
  <si>
    <t>092  2  02  04034  00  0000  151</t>
  </si>
  <si>
    <t>092  2  02  04034  00  0001  151</t>
  </si>
  <si>
    <t>092  2  02  04034  05  0001  151</t>
  </si>
  <si>
    <t>092  2  18  00000  00  0000  000</t>
  </si>
  <si>
    <t>092  2  18  05000  05  0000  000</t>
  </si>
  <si>
    <t>092  2  18  05030  05  0000  151</t>
  </si>
  <si>
    <t>092  2  19  00000  00  0000  000</t>
  </si>
  <si>
    <t>092  2  19  05000  05  0000  151</t>
  </si>
  <si>
    <t>000 02 01 02 00 05 0000 810</t>
  </si>
  <si>
    <t>000 05 00 00 00 00 0000 000</t>
  </si>
  <si>
    <t>Акции и иные формы участия в капитале,находящиеся в государственной и муниципальной форме</t>
  </si>
  <si>
    <t>000 05 00 00 00 00 0000 630</t>
  </si>
  <si>
    <t>Продажа (уменьшение ситоимости ) акций и иных форм участия в капитале, находящихся в государственной и муниципальной собственности</t>
  </si>
  <si>
    <t>000 05 00 00 00 05 0000 630</t>
  </si>
  <si>
    <t>Налог на добычу полезных ископаемых</t>
  </si>
  <si>
    <t xml:space="preserve">   Источники финансирования дефицита бюджета муниципального района МО "Улаганский район" на 2012 г.и 2013 гг.</t>
  </si>
  <si>
    <t>2012 г              тыс. руб.</t>
  </si>
  <si>
    <t>Источники финансирования дефицита бюджета муниципального района МО "Улаганский район" на 2011 г</t>
  </si>
  <si>
    <t>2013 г.                            тыс. руб.</t>
  </si>
  <si>
    <t>Налог на добычу общераспространенных полезных ископаемых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</si>
  <si>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</si>
  <si>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</si>
  <si>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</si>
  <si>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государственную регистрацию, а также за совершение прочих юридически значимых действий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</si>
  <si>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</si>
  <si>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</si>
  <si>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</si>
  <si>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</si>
  <si>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</si>
  <si>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</si>
  <si>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000  1  11  05025  05  0000  120</t>
  </si>
  <si>
    <t xml:space="preserve"> </t>
  </si>
  <si>
    <t>Источники внутреннего финансирования  дефицита бюджета</t>
  </si>
  <si>
    <t>000 01 02 00 00 00 0000 000</t>
  </si>
  <si>
    <t>Кредиты кредитных организаций в валюте Российской Федерации</t>
  </si>
  <si>
    <t>000 01 02 00 00 00 0000 700</t>
  </si>
  <si>
    <t>сумма на 2012 год , тыс.руб.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</si>
  <si>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</si>
  <si>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000  2  02  03015  10  0000  151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</si>
  <si>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</si>
  <si>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</si>
  <si>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</si>
  <si>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000  2  02  03020  05  0000  151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</si>
  <si>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</si>
  <si>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</si>
  <si>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муниципальных районов на ежемесячное денежное вознаграждение за классное руководство</t>
  </si>
  <si>
    <t>000  2  02  03021  05  0000  151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</si>
  <si>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</si>
  <si>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000  2  02  03022  00  0000  151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</si>
  <si>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</si>
  <si>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</si>
  <si>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</si>
  <si>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</t>
  </si>
  <si>
    <t>092  1  13  03000  00  0000  130</t>
  </si>
  <si>
    <t>092  1  13  00000  00  0000  000</t>
  </si>
  <si>
    <t>092  1  14  00000  00  0000  000</t>
  </si>
  <si>
    <t>092  1  14  02000  00  0000  000</t>
  </si>
  <si>
    <t>092  1  14  02032  05  0000  410</t>
  </si>
  <si>
    <t>092  2  02  02009  00  0000  151</t>
  </si>
  <si>
    <t>092  2  02  02009  05  0000  151</t>
  </si>
  <si>
    <t>092  2  02  02077  05  0000  151</t>
  </si>
  <si>
    <t>092  2  02  02080  00  0000  151</t>
  </si>
  <si>
    <t>092  2  02  02080  05  0000  151</t>
  </si>
  <si>
    <t>092  2  02  02077  00  0000  151</t>
  </si>
  <si>
    <t xml:space="preserve"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</si>
  <si>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 xml:space="preserve"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 </t>
  </si>
  <si>
    <t>092  2  02  02088  00  0000  151</t>
  </si>
  <si>
    <t>092  2  02  02088  05  0000  151</t>
  </si>
  <si>
    <t>092  2  02  02088  05  0001  151</t>
  </si>
  <si>
    <t>092  2  02  02089  00  0000  151</t>
  </si>
  <si>
    <t>092  2  02  02089  05  0000  151</t>
  </si>
  <si>
    <t>092  2  02  02089  05  0001  151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</si>
  <si>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</si>
  <si>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</si>
  <si>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</si>
  <si>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</si>
  <si>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000  2  02  02077  05  0000  151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</si>
  <si>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</si>
  <si>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</si>
  <si>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</si>
  <si>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</si>
  <si>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Иные межбюджетные трансферты</t>
  </si>
  <si>
    <t>092  2  02  04000  00  0000  151</t>
  </si>
  <si>
    <t>092  2  02  04014  00  0000  151</t>
  </si>
  <si>
    <t>092  2  02  04014  05  0000  151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</si>
  <si>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</si>
  <si>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</si>
  <si>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</si>
  <si>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000  2  02  03027  00  0000  151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</si>
  <si>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</si>
  <si>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</si>
  <si>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</si>
  <si>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</si>
  <si>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000  2  02  03029  05  0000  151</t>
  </si>
  <si>
    <t xml:space="preserve"> Субсидии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</si>
  <si>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Субсидии бюджетам муниципальных районов на комплектование книжных фондов библиотек муниципальных образований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</si>
  <si>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</si>
  <si>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</si>
  <si>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Сборы за выдачу лицензий на розничную продажу алкогольной продукции, в том числе в связи с предоставлением отсрочки (рассрочки)</t>
  </si>
  <si>
    <t>Сборы за выдачу органами местного самоуправления муниципальных районов лицензий на розничную продажу алкогольной продукции, в том числе в связи с предоставлением отсрочки (рассрочки)</t>
  </si>
  <si>
    <t>Субвенции бюджетам на осуществление полномочий по подготовке проведения статистических переписей</t>
  </si>
  <si>
    <t>000  2  02  03002  00  0000  151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</si>
  <si>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</si>
  <si>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сумма на 2013 год , тыс.руб.</t>
  </si>
  <si>
    <t>2011ГОД</t>
  </si>
  <si>
    <t>Субсидии бюджетам для обеспечения земельных участков коммунальной инфраструктурой в целях жилищного строительства</t>
  </si>
  <si>
    <t>000  2  02  02080  00  0000  151</t>
  </si>
  <si>
    <t>Субсидии бюджетам муниципальных районов для обеспечения земельных участков коммунальной инфраструктурой в целях жилищного строительства</t>
  </si>
  <si>
    <t>000  2  02  02080  05  0000  151</t>
  </si>
  <si>
    <t>Прочие субсидии</t>
  </si>
  <si>
    <t>Прочие субсидии бюджетам муниципальных районов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</si>
  <si>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</si>
  <si>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</si>
  <si>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муниципальных районов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</si>
  <si>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</si>
  <si>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</si>
  <si>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</si>
  <si>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</si>
  <si>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обеспечение мер социальной поддержки ветеранов труда и тружеников тыла</t>
  </si>
  <si>
    <t>Субвенции бюджетам муниципальных районов на обеспечение мер социальной поддержки ветеранов труда и тружеников тыла</t>
  </si>
  <si>
    <t>Субвенции бюджетам муниципальных образований на выплату ежемесячного пособия на ребенка</t>
  </si>
  <si>
    <t>Субвенции бюджетам муниципальных районов на выплату ежемесячного пособия на ребенка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</si>
  <si>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</si>
  <si>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000  2  02  03012  00  0000  151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</si>
  <si>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</si>
  <si>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000  2  02  03012  05  0000  151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</si>
  <si>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</si>
  <si>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</si>
  <si>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</si>
  <si>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000  2  02  03015  00  0000  151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</si>
  <si>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</si>
  <si>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000  2  02  03015  05  0000  151</t>
  </si>
  <si>
    <t>Получение кредитов от кредитных организаций в валюте Российской Федерации</t>
  </si>
  <si>
    <t>092 01 02 00 00 05 0000 710</t>
  </si>
  <si>
    <t>Получение кредитов от кредитных организаций бюджетом муниципального района 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</si>
  <si>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</si>
  <si>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</si>
  <si>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092 01 02 00 00 05 0000 810</t>
  </si>
  <si>
    <t>Погашение кредитов, предоставленных кредитными организациями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</si>
  <si>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</si>
  <si>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</si>
  <si>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000 01 03 00 00 00 0000 700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</si>
  <si>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
</t>
  </si>
  <si>
    <t>182  1  01  02010  01  0000  110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</si>
  <si>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</si>
  <si>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</si>
  <si>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</si>
  <si>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Субсидии бюджетам на модернизацию региональных систем общего образования</t>
  </si>
  <si>
    <t>092  2  02  02145  00  0000  151</t>
  </si>
  <si>
    <t>Субсидии бюджетам муниципальных районов на модернизацию региональных систем общего образования</t>
  </si>
  <si>
    <t>092  2  02  02145  05  0000  151</t>
  </si>
  <si>
    <t xml:space="preserve">ДОХОДЫ без учета безвозмездных поступлений от других бюджетов бюджетной системы Российской Федерации </t>
  </si>
  <si>
    <t>2.1.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</si>
  <si>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2.2.Налог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</si>
  <si>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</si>
  <si>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</si>
  <si>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Получение бюджетных кредитов от других бюджетов бюджетной системы Российской Федерации в валюте Российской Федерации</t>
  </si>
  <si>
    <t>092 01 03 00 00 05 0000 710</t>
  </si>
  <si>
    <t>Полученные кредитов от других бюджетов бюджетной системы Российской Федерации бюджетом муниципального района в валюте Российской Федерации</t>
  </si>
  <si>
    <t>000 01 03 00 00 00 0000 800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</si>
  <si>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</si>
  <si>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092 01 03 00 00 05 0000 810</t>
  </si>
  <si>
    <t>092 01 05  00  00  00  0000  600</t>
  </si>
  <si>
    <r>
      <t>Погашение  бюджетом муниципальных районов кредитов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</si>
  <si>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Наименование показателя</t>
  </si>
  <si>
    <t xml:space="preserve">Код дохода </t>
  </si>
  <si>
    <t>000  1  00  00000  00  0000  000</t>
  </si>
  <si>
    <t>НАЛОГОВЫЕ ДОХОДЫ</t>
  </si>
  <si>
    <t>НАЛОГИ НА ПРИБЫЛЬ, ДОХОДЫ</t>
  </si>
  <si>
    <t>182  1  01  00000  00  0000  000</t>
  </si>
  <si>
    <t>Налог на доходы физических лиц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</si>
  <si>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</si>
  <si>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</si>
  <si>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</si>
  <si>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Расчет поступлений налога на доходы физических лиц в районный бюджет МО "Улаганский район" на 2014 год</t>
  </si>
  <si>
    <t>Прогноз поступлений  налога на доходы физических лиц на 2014 год, тыс. рублей</t>
  </si>
  <si>
    <t>2.3.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</si>
  <si>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Расчет поступлений налога на имущество организаций в бюджет муниципального района МО "Улаганский район"  на 2014 год </t>
  </si>
  <si>
    <t>сумма налога на имущество организаций  подлежащая уплате в 2014 году  (годовые расчеты за 2013 год), тыс. рублей</t>
  </si>
  <si>
    <t xml:space="preserve">Сумма налога на имущество организаций подлежащая уплате в 2014 году  (стр. 3.1  + стр. 6.1), тыс. рублей  </t>
  </si>
  <si>
    <t xml:space="preserve">Общая сумма налога на имущество организаций, подлежащая уплате в консолидированный бюджет  в 2014 году, тыс. рублей </t>
  </si>
  <si>
    <t>Сумма налога на имущество организаций, подлежащая уплате в  районный бюджет МО "Улаганский район"в 2015 году, тыс. рублей</t>
  </si>
  <si>
    <t>сумма налога на имущество организаций  подлежащая уплате в 2015 году (годовые расчеты за 2012 год), тыс. рублей</t>
  </si>
  <si>
    <t>Сумма налога на имущество организаций за 2015 год, тыс. рублей</t>
  </si>
  <si>
    <t>Прогноз поступлений налога на имущество организаций на 2016 год</t>
  </si>
  <si>
    <t>сумма налога на имущество организаций  подлежащая уплате в 2015 году (годовые расчеты за 2016 год), тыс. рублей</t>
  </si>
  <si>
    <t>Налоговая база для исчисления налога на имущество организаций за 2016 год, тыс. рублей</t>
  </si>
  <si>
    <t>Сумма налога на имущество организаций за 2016  год, тыс. рублей</t>
  </si>
  <si>
    <t>сумма авансовых платежей по налогу на имущество организаций подлежащих уплате в 2016 году (квартальные расчеты), тыс. рублей</t>
  </si>
  <si>
    <t xml:space="preserve">Сумма налога на имущество организаций подлежащая уплате в 2016 году  (стр. 3.1  + стр. 6.1), тыс. рублей  </t>
  </si>
  <si>
    <t xml:space="preserve">Общая сумма налога на имущество организаций, подлежащая уплате в консолидированный бюджет Республики Алтай в 2016 году, тыс. рублей </t>
  </si>
  <si>
    <t>Сумма налога на имущество организаций, подлежащая уплате в  районный бюджет МО "Улаганский район" в 2016 году, тыс. рублей</t>
  </si>
  <si>
    <t>МО "Улаганский район" на 2014 год</t>
  </si>
  <si>
    <t>и на плановый период 2015 и 2016 годов"</t>
  </si>
  <si>
    <t>Расчет поступлений налога на доходы физических лиц в районный бюджет МО "Улаганский район" на плановый период 2015 и 2016 годов</t>
  </si>
  <si>
    <t>Прогноз поступлений  налога на доходы физических лиц  на 2015 год, тыс. рублей</t>
  </si>
  <si>
    <t>Прогноз поступлений налога на доходы физических лиц на 2016 год, тыс. рублей</t>
  </si>
  <si>
    <t xml:space="preserve">                                                                                          на 2014 год и на плановый период 2015 и 2016 годов"</t>
  </si>
  <si>
    <t>Сумма налога на имущество организаций, подлежащая уплате в  районный бюджет МО "Улаганский район" в 2014 году, тыс. рублей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</si>
  <si>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</si>
  <si>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182  1  01  02040  01  0000  110</t>
  </si>
  <si>
    <t xml:space="preserve">Приложение N2
к пояснительной записки к проекту Решения «О бюджете муниципального образования "Улаганский район" на 2014 год и на плановый период 2015 и 2016 годов»                                                 </t>
  </si>
  <si>
    <t>Поступление доходов в районный бюджет МО "Улаганский район" в 2015-2016  годах</t>
  </si>
  <si>
    <t>Сумма на 2016 год     тыс.рублей</t>
  </si>
  <si>
    <t>Расчет поступлений налога на имущество организаций в бюджет муниципального района МО "Улаганский район" на плановый период 2015 и 2016 годов</t>
  </si>
  <si>
    <t>Код бюджетной классификации Российской Федерации</t>
  </si>
  <si>
    <t>Наименование доходов</t>
  </si>
  <si>
    <t>Изменения (+;-)</t>
  </si>
  <si>
    <t>Сумма с учетом изменений</t>
  </si>
  <si>
    <t>092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</si>
  <si>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</si>
  <si>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</si>
  <si>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</si>
  <si>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</si>
  <si>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</si>
  <si>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</si>
  <si>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</si>
  <si>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</si>
  <si>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</si>
  <si>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1 03 00000 00 0000 000</t>
  </si>
  <si>
    <t>Код главы администратора</t>
  </si>
  <si>
    <t xml:space="preserve">  1  00  00000  00  0000  000</t>
  </si>
  <si>
    <t xml:space="preserve">  1  01  00000  00  0000  000</t>
  </si>
  <si>
    <t xml:space="preserve">  1  01  02010  01  0000  110</t>
  </si>
  <si>
    <t xml:space="preserve">  1  01  02020  01  0000  110</t>
  </si>
  <si>
    <t xml:space="preserve">  1  01  02030  01  0000  110</t>
  </si>
  <si>
    <t xml:space="preserve">  1  05  00000  00  0000  000</t>
  </si>
  <si>
    <t xml:space="preserve">  1  05  01000  00  0000  110</t>
  </si>
  <si>
    <t xml:space="preserve">  1  05  01010  01  0000  110</t>
  </si>
  <si>
    <t xml:space="preserve">  1   05 01011  01  0000 110</t>
  </si>
  <si>
    <t xml:space="preserve">  1  05  01020  01  0000  110</t>
  </si>
  <si>
    <t xml:space="preserve">  1  05  01021  01  0000  110</t>
  </si>
  <si>
    <t xml:space="preserve">  1  05  03000  01  0000  110</t>
  </si>
  <si>
    <t xml:space="preserve">  1 05   03010   01  0000 110</t>
  </si>
  <si>
    <t xml:space="preserve">  1  06  00000  00  0000  000</t>
  </si>
  <si>
    <t xml:space="preserve">  1  06  02000  02  0000  110</t>
  </si>
  <si>
    <t xml:space="preserve">  1  06  02010  02  0000  110</t>
  </si>
  <si>
    <t xml:space="preserve">  1  08  00000  00  0000  000</t>
  </si>
  <si>
    <t xml:space="preserve">  1  08  03000  01  0000  110</t>
  </si>
  <si>
    <t xml:space="preserve">  1  08  03010  01  0000  110</t>
  </si>
  <si>
    <t xml:space="preserve">  1  08  07000  01  0000  110</t>
  </si>
  <si>
    <t xml:space="preserve"> 1  08  07080  01   0000 110</t>
  </si>
  <si>
    <t xml:space="preserve"> 1  08  07084  01   0000 110</t>
  </si>
  <si>
    <t xml:space="preserve"> 1  11  00000  00  0000  000</t>
  </si>
  <si>
    <t xml:space="preserve"> 1  11  05000  00  0000  120</t>
  </si>
  <si>
    <t xml:space="preserve"> 1  11  05010  00  0000  120</t>
  </si>
  <si>
    <t xml:space="preserve"> 1  11  05035  05  0000  120</t>
  </si>
  <si>
    <t xml:space="preserve"> 1  11  05030  00  0000  120</t>
  </si>
  <si>
    <t xml:space="preserve"> 1  12  00000  00  0000  000</t>
  </si>
  <si>
    <t xml:space="preserve">  1  13  00000  00  0000  000</t>
  </si>
  <si>
    <t xml:space="preserve">  1  13  03000  00  0000  130</t>
  </si>
  <si>
    <t xml:space="preserve"> 1 13 01995 05 0000 130</t>
  </si>
  <si>
    <t xml:space="preserve">  1  16  00000  00  0000  000</t>
  </si>
  <si>
    <t xml:space="preserve">  2  00  00000  00  0000  000</t>
  </si>
  <si>
    <t xml:space="preserve">  2  02  00000  00  0000  000</t>
  </si>
  <si>
    <t>000</t>
  </si>
  <si>
    <t>182</t>
  </si>
  <si>
    <t>1 01  02000  01  0000  110</t>
  </si>
  <si>
    <t>в тыс.руб.</t>
  </si>
  <si>
    <t>2016 год</t>
  </si>
  <si>
    <t>сумма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</si>
  <si>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</si>
  <si>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</si>
  <si>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</si>
  <si>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муниципальных районов </t>
  </si>
  <si>
    <t xml:space="preserve">  1 05   04000   02  0000 110</t>
  </si>
  <si>
    <t xml:space="preserve">  1 05   04020   02  0000 110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</si>
  <si>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</si>
  <si>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</si>
  <si>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</si>
  <si>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</si>
  <si>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</si>
  <si>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</si>
  <si>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2  02  25097  00  0000  150</t>
  </si>
  <si>
    <t>2  02  25097  05  0000  150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</si>
  <si>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</si>
  <si>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</si>
  <si>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2  02  25467  00  0000  150</t>
  </si>
  <si>
    <t>2  02  25467  05  0000  150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</si>
  <si>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</si>
  <si>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</si>
  <si>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2  02  25497  00  0000  150</t>
  </si>
  <si>
    <t>2  02  25497  05  0000  150</t>
  </si>
  <si>
    <t>2  02  30024  05  0000  150</t>
  </si>
  <si>
    <t>2  02  30000  00  0000  150</t>
  </si>
  <si>
    <t>2  02  29999  05  0000  150</t>
  </si>
  <si>
    <t>2  02  29999  00  0000  150</t>
  </si>
  <si>
    <t xml:space="preserve"> 1 11 05013 05 0000 120</t>
  </si>
  <si>
    <t xml:space="preserve">  2  02  01000  00  0000  150</t>
  </si>
  <si>
    <t>2   02  15001  05  0000  150</t>
  </si>
  <si>
    <t xml:space="preserve">  2  02  15001  00  0000  150</t>
  </si>
  <si>
    <t xml:space="preserve">  2  02  20000  00  0000  150</t>
  </si>
  <si>
    <t>2  02  30029  00  0000  150</t>
  </si>
  <si>
    <t>2  02  30029  05  0000  150</t>
  </si>
  <si>
    <t>2 02  35120  00  0000 150</t>
  </si>
  <si>
    <t>2  02 35120  05  0000 150</t>
  </si>
  <si>
    <t>Межбюджетные трансферты, передаваемые бюджетам муниципальных районов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</si>
  <si>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Межбюджетные трансферты, передаваемые бюджетам на реализацию мероприятий индивидуальных программ социально-экономического развития Республики Алтай, Республики Карелия и Республики Тыва</t>
  </si>
  <si>
    <t>2  02  40000 00 0000  150</t>
  </si>
  <si>
    <t>2  02 45321  05 0000  150</t>
  </si>
  <si>
    <t>2  02 45321 00  0000  150</t>
  </si>
  <si>
    <t>2  02  30024  00  0000  150</t>
  </si>
  <si>
    <t>Субсидии бюджетам муниципальных районов на поддержку отрасли культуры</t>
  </si>
  <si>
    <t>2 02 25519 05 0000 150</t>
  </si>
  <si>
    <t>Субсидии бюджетам на поддержку отрасли культуры</t>
  </si>
  <si>
    <t>2 02 25519 00 0000 150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</si>
  <si>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</si>
  <si>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</si>
  <si>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</si>
  <si>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</si>
  <si>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</si>
  <si>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</si>
  <si>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</si>
  <si>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</si>
  <si>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</si>
  <si>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</si>
  <si>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</si>
  <si>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</si>
  <si>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</si>
  <si>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</si>
  <si>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</si>
  <si>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</si>
  <si>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</si>
  <si>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</si>
  <si>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</si>
  <si>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</si>
  <si>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</si>
  <si>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</si>
  <si>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11601000010000140</t>
  </si>
  <si>
    <t>11601050010000140</t>
  </si>
  <si>
    <t>11601053010000140</t>
  </si>
  <si>
    <t>11601060010000140</t>
  </si>
  <si>
    <t>11601063010000140</t>
  </si>
  <si>
    <t>11601130010000140</t>
  </si>
  <si>
    <t>11601133010000140</t>
  </si>
  <si>
    <t>11601140010000140</t>
  </si>
  <si>
    <t>11601143010000140</t>
  </si>
  <si>
    <t>11601150010000140</t>
  </si>
  <si>
    <t>11601153010000140</t>
  </si>
  <si>
    <t>11601170010000140</t>
  </si>
  <si>
    <t>11601173010000140</t>
  </si>
  <si>
    <t>11601200010000140</t>
  </si>
  <si>
    <t>11601203010000140</t>
  </si>
  <si>
    <t>11602000020000140</t>
  </si>
  <si>
    <t>11602010020000140</t>
  </si>
  <si>
    <t>11610000000000140</t>
  </si>
  <si>
    <t>11610120000000140</t>
  </si>
  <si>
    <t>11610123010000140</t>
  </si>
  <si>
    <t>11611000010000140</t>
  </si>
  <si>
    <t>11611050010000140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</si>
  <si>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</si>
  <si>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</si>
  <si>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062</t>
  </si>
  <si>
    <t>20225304050000150</t>
  </si>
  <si>
    <t>20225304000000150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</si>
  <si>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</si>
  <si>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</si>
  <si>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20245303000000150</t>
  </si>
  <si>
    <t>20245303050000150</t>
  </si>
  <si>
    <t xml:space="preserve"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</si>
  <si>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
</t>
  </si>
  <si>
    <t>2 02 35176 00 0000 150</t>
  </si>
  <si>
    <t>2 02 35176 05 0000 150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</si>
  <si>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</si>
  <si>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</si>
  <si>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</si>
  <si>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</si>
  <si>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</si>
  <si>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801</t>
  </si>
  <si>
    <t>2  02  25576  00  0000  150</t>
  </si>
  <si>
    <t>Субсидии бюджетам на обеспечение комплексного развития сельских территорий</t>
  </si>
  <si>
    <t>2  02  25576  05  0000  150</t>
  </si>
  <si>
    <t>Субсидии бюджетам муниципальных районов на обеспечение комплексного развития сельских территорий</t>
  </si>
  <si>
    <t>057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</si>
  <si>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</si>
  <si>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1  01  02040  01  0000  110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</si>
  <si>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</si>
  <si>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</si>
  <si>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</si>
  <si>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</si>
  <si>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</si>
  <si>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</si>
  <si>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</si>
  <si>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2  02  20299  00  0000  150</t>
  </si>
  <si>
    <t>2  02  20299  05  0000  150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</si>
  <si>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</si>
  <si>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</si>
  <si>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2  02  20302  05  0000  150</t>
  </si>
  <si>
    <t>2  02  20302  00  0000  150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</si>
  <si>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</si>
  <si>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</si>
  <si>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2  02 35176  05  0000 150</t>
  </si>
  <si>
    <t>2  02 35176  00  0000 150</t>
  </si>
  <si>
    <t>1 03 02251 01 0000 110</t>
  </si>
  <si>
    <t>2025 год               сумма</t>
  </si>
  <si>
    <t>2   02  15002  05  0000  150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</si>
  <si>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Федерации, а так же доходов от долевого участия в организации, полученных в виде дивидентов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</si>
  <si>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а так же доходов от долевого участия в организации, полученных в виде дивидентов
</t>
  </si>
  <si>
    <t xml:space="preserve">Приложение 3
к  Решению  «О бюджете муниципального образования "Улаганский район" на 2024 год и на плановый период 2025 и 2026 годов» </t>
  </si>
  <si>
    <t>Объем поступлений доходов в местный бюджет в 2024 году</t>
  </si>
  <si>
    <t xml:space="preserve">  1  07  00000  00  0000  000</t>
  </si>
  <si>
    <t xml:space="preserve">  1  07  01000  01  0000  110</t>
  </si>
  <si>
    <t xml:space="preserve">  1  07  01020  01  0000  110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</si>
  <si>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</si>
  <si>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</si>
  <si>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</si>
  <si>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</si>
  <si>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</si>
  <si>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 xml:space="preserve"> 1  11  09000  00  0000  120</t>
  </si>
  <si>
    <t xml:space="preserve"> 1  11  09040  00  0000  120</t>
  </si>
  <si>
    <t xml:space="preserve"> 1  11  09045  05  0000  120</t>
  </si>
  <si>
    <t xml:space="preserve"> 1  11  09080  00  0000  120</t>
  </si>
  <si>
    <t xml:space="preserve"> 1  11  09080  05  0000  120</t>
  </si>
  <si>
    <t>Плата за размещение отходов производства</t>
  </si>
  <si>
    <t>Плата за размещение твердых коммунальных отходов</t>
  </si>
  <si>
    <t xml:space="preserve"> 1  12  01000  00  0000  120</t>
  </si>
  <si>
    <t>1  12  01010  00  0000  120</t>
  </si>
  <si>
    <t xml:space="preserve"> 1  12 01010  01  0000  120</t>
  </si>
  <si>
    <t xml:space="preserve"> 1  12 01040  01  0000  120</t>
  </si>
  <si>
    <t xml:space="preserve"> 1  12 01041  01  0000  120</t>
  </si>
  <si>
    <t xml:space="preserve"> 1  12 01042  01  0000  120</t>
  </si>
  <si>
    <t>2  02  35120  00  0000 150</t>
  </si>
  <si>
    <t>2  02  25304  00  0000  150</t>
  </si>
  <si>
    <t xml:space="preserve"> 2   02 20000  00  0000  150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</si>
  <si>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</si>
  <si>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</si>
  <si>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2  02  49999  00 0000  150</t>
  </si>
  <si>
    <t>2  02  49999  05 0000  150</t>
  </si>
  <si>
    <t xml:space="preserve">Приложение 4
к  Решению  «О бюджете муниципального образования "Улаганский район" на 2024 год и на плановый период 2025 и 2026 годов» </t>
  </si>
  <si>
    <t>Объем поступлений доходов в местный бюджет в  2025-2026  годах</t>
  </si>
  <si>
    <t>2026 год               сумма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</si>
</sst>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00"/>
    <numFmt numFmtId="175" formatCode="0.00000"/>
    <numFmt numFmtId="176" formatCode="0.0000"/>
    <numFmt numFmtId="177" formatCode="0.00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&quot;р.&quot;"/>
    <numFmt numFmtId="184" formatCode="0.0000000"/>
    <numFmt numFmtId="185" formatCode="_-* #,##0.000_р_._-;\-* #,##0.000_р_._-;_-* &quot;-&quot;??_р_._-;_-@_-"/>
    <numFmt numFmtId="186" formatCode="_-* #,##0.0_р_._-;\-* #,##0.0_р_._-;_-* &quot;-&quot;??_р_._-;_-@_-"/>
    <numFmt numFmtId="187" formatCode="_-* #,##0.0_р_._-;\-* #,##0.0_р_._-;_-* &quot;-&quot;?_р_._-;_-@_-"/>
    <numFmt numFmtId="188" formatCode="_-* #,##0_р_._-;\-* #,##0_р_._-;_-* &quot;-&quot;??_р_._-;_-@_-"/>
    <numFmt numFmtId="189" formatCode="#,##0.0000"/>
    <numFmt numFmtId="190" formatCode="#,##0.0_ ;\-#,##0.0\ "/>
    <numFmt numFmtId="191" formatCode="0.00000000"/>
    <numFmt numFmtId="192" formatCode="0.000000000"/>
    <numFmt numFmtId="193" formatCode="0.0000000000"/>
    <numFmt numFmtId="194" formatCode="0.00000000000"/>
    <numFmt numFmtId="195" formatCode="0.000000000000"/>
    <numFmt numFmtId="196" formatCode="[$-FC19]d\ mmmm\ yyyy\ &quot;г.&quot;"/>
    <numFmt numFmtId="197" formatCode="000000"/>
    <numFmt numFmtId="198" formatCode="#,##0.0_р_."/>
    <numFmt numFmtId="199" formatCode="_т_ы_с_._р_.#,##0,"/>
    <numFmt numFmtId="200" formatCode="_т_ы_с_._р_.#,##0.0000,"/>
    <numFmt numFmtId="201" formatCode="#,##0_р_."/>
    <numFmt numFmtId="202" formatCode="_т_ы_с_._р_.#,##0.0,"/>
    <numFmt numFmtId="203" formatCode="_т_ы_с_._р_.#,##0.00,"/>
    <numFmt numFmtId="204" formatCode="_т_ы_с_._р_.#,##0.000,"/>
    <numFmt numFmtId="205" formatCode="0.0%"/>
    <numFmt numFmtId="206" formatCode="_т_ы_с_._р_.#,##0.00000,"/>
    <numFmt numFmtId="207" formatCode="_т_ы_с_._р_.#,##0.000000,"/>
    <numFmt numFmtId="208" formatCode="_т_ы_с_._р_.#,##0.0000000,"/>
    <numFmt numFmtId="209" formatCode="#,##0.00\ _₽"/>
  </numFmts>
  <fonts count="6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sz val="8"/>
      <color indexed="61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color indexed="1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8"/>
      <color indexed="9"/>
      <name val="Times New Roman"/>
      <family val="1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8"/>
      <color theme="0"/>
      <name val="Times New Roman"/>
      <family val="1"/>
    </font>
    <font>
      <sz val="14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4" fillId="0" borderId="10" xfId="0" applyFont="1" applyBorder="1" applyAlignment="1">
      <alignment horizontal="justify"/>
    </xf>
    <xf numFmtId="173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justify"/>
    </xf>
    <xf numFmtId="0" fontId="0" fillId="0" borderId="10" xfId="0" applyFont="1" applyBorder="1" applyAlignment="1">
      <alignment horizontal="justify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justify"/>
    </xf>
    <xf numFmtId="3" fontId="5" fillId="0" borderId="10" xfId="0" applyNumberFormat="1" applyFont="1" applyBorder="1" applyAlignment="1">
      <alignment/>
    </xf>
    <xf numFmtId="16" fontId="0" fillId="0" borderId="10" xfId="0" applyNumberFormat="1" applyBorder="1" applyAlignment="1">
      <alignment/>
    </xf>
    <xf numFmtId="16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justify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justify"/>
    </xf>
    <xf numFmtId="3" fontId="0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justify"/>
    </xf>
    <xf numFmtId="0" fontId="7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0" fillId="0" borderId="11" xfId="0" applyBorder="1" applyAlignment="1">
      <alignment/>
    </xf>
    <xf numFmtId="0" fontId="7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0" fillId="0" borderId="15" xfId="0" applyBorder="1" applyAlignment="1">
      <alignment/>
    </xf>
    <xf numFmtId="0" fontId="6" fillId="0" borderId="10" xfId="0" applyFont="1" applyBorder="1" applyAlignment="1">
      <alignment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justify"/>
    </xf>
    <xf numFmtId="0" fontId="6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 wrapText="1"/>
    </xf>
    <xf numFmtId="0" fontId="0" fillId="0" borderId="18" xfId="0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9" fillId="0" borderId="0" xfId="0" applyFont="1" applyFill="1" applyBorder="1" applyAlignment="1">
      <alignment/>
    </xf>
    <xf numFmtId="0" fontId="8" fillId="0" borderId="10" xfId="54" applyFont="1" applyBorder="1" applyAlignment="1">
      <alignment wrapText="1"/>
      <protection/>
    </xf>
    <xf numFmtId="49" fontId="6" fillId="0" borderId="10" xfId="54" applyNumberFormat="1" applyFont="1" applyBorder="1" applyAlignment="1">
      <alignment/>
      <protection/>
    </xf>
    <xf numFmtId="49" fontId="6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vertical="justify"/>
    </xf>
    <xf numFmtId="0" fontId="13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4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4" fontId="12" fillId="33" borderId="0" xfId="0" applyNumberFormat="1" applyFont="1" applyFill="1" applyAlignment="1">
      <alignment/>
    </xf>
    <xf numFmtId="49" fontId="6" fillId="0" borderId="10" xfId="54" applyNumberFormat="1" applyFont="1" applyBorder="1" applyAlignment="1">
      <alignment wrapText="1"/>
      <protection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left" wrapText="1"/>
    </xf>
    <xf numFmtId="4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56" applyFont="1" applyBorder="1" applyAlignment="1">
      <alignment wrapText="1"/>
      <protection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3" fontId="8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 horizontal="center"/>
    </xf>
    <xf numFmtId="4" fontId="8" fillId="0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14" fillId="0" borderId="21" xfId="0" applyNumberFormat="1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73" fontId="8" fillId="0" borderId="10" xfId="0" applyNumberFormat="1" applyFont="1" applyFill="1" applyBorder="1" applyAlignment="1">
      <alignment horizontal="center"/>
    </xf>
    <xf numFmtId="4" fontId="10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2" fontId="8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justify" vertical="top" wrapText="1"/>
    </xf>
    <xf numFmtId="2" fontId="10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/>
    </xf>
    <xf numFmtId="49" fontId="6" fillId="0" borderId="10" xfId="56" applyNumberFormat="1" applyFont="1" applyBorder="1" applyAlignment="1">
      <alignment/>
      <protection/>
    </xf>
    <xf numFmtId="0" fontId="10" fillId="0" borderId="10" xfId="56" applyFont="1" applyBorder="1" applyAlignment="1">
      <alignment wrapText="1"/>
      <protection/>
    </xf>
    <xf numFmtId="4" fontId="9" fillId="0" borderId="0" xfId="0" applyNumberFormat="1" applyFont="1" applyAlignment="1">
      <alignment/>
    </xf>
    <xf numFmtId="0" fontId="8" fillId="0" borderId="10" xfId="53" applyFont="1" applyBorder="1" applyAlignment="1">
      <alignment wrapText="1"/>
      <protection/>
    </xf>
    <xf numFmtId="49" fontId="6" fillId="0" borderId="10" xfId="53" applyNumberFormat="1" applyFont="1" applyBorder="1" applyAlignment="1">
      <alignment/>
      <protection/>
    </xf>
    <xf numFmtId="0" fontId="0" fillId="0" borderId="0" xfId="0" applyFill="1" applyAlignment="1">
      <alignment/>
    </xf>
    <xf numFmtId="0" fontId="8" fillId="0" borderId="0" xfId="0" applyFont="1" applyFill="1" applyAlignment="1">
      <alignment horizontal="right" vertical="top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horizont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 wrapText="1"/>
    </xf>
    <xf numFmtId="3" fontId="12" fillId="0" borderId="28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/>
    </xf>
    <xf numFmtId="172" fontId="12" fillId="0" borderId="10" xfId="0" applyNumberFormat="1" applyFont="1" applyFill="1" applyBorder="1" applyAlignment="1">
      <alignment horizontal="center" vertical="center" wrapText="1"/>
    </xf>
    <xf numFmtId="172" fontId="12" fillId="0" borderId="28" xfId="0" applyNumberFormat="1" applyFont="1" applyFill="1" applyBorder="1" applyAlignment="1">
      <alignment horizontal="center" vertical="center" wrapText="1"/>
    </xf>
    <xf numFmtId="172" fontId="15" fillId="0" borderId="26" xfId="0" applyNumberFormat="1" applyFont="1" applyFill="1" applyBorder="1" applyAlignment="1">
      <alignment horizontal="center" vertical="center" wrapText="1"/>
    </xf>
    <xf numFmtId="172" fontId="15" fillId="0" borderId="27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justify" vertical="center" wrapText="1"/>
    </xf>
    <xf numFmtId="172" fontId="12" fillId="0" borderId="11" xfId="0" applyNumberFormat="1" applyFont="1" applyFill="1" applyBorder="1" applyAlignment="1">
      <alignment horizontal="center" vertical="center" wrapText="1"/>
    </xf>
    <xf numFmtId="172" fontId="15" fillId="0" borderId="29" xfId="0" applyNumberFormat="1" applyFont="1" applyFill="1" applyBorder="1" applyAlignment="1">
      <alignment horizontal="center" vertical="center" wrapText="1"/>
    </xf>
    <xf numFmtId="172" fontId="15" fillId="0" borderId="3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72" fontId="15" fillId="0" borderId="11" xfId="0" applyNumberFormat="1" applyFont="1" applyFill="1" applyBorder="1" applyAlignment="1">
      <alignment horizontal="center" vertical="center" wrapText="1"/>
    </xf>
    <xf numFmtId="172" fontId="12" fillId="0" borderId="31" xfId="0" applyNumberFormat="1" applyFont="1" applyFill="1" applyBorder="1" applyAlignment="1">
      <alignment horizontal="center" vertical="center" wrapText="1"/>
    </xf>
    <xf numFmtId="172" fontId="12" fillId="0" borderId="3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7" fillId="0" borderId="0" xfId="0" applyFont="1" applyAlignment="1">
      <alignment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3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12" fillId="0" borderId="37" xfId="0" applyFont="1" applyBorder="1" applyAlignment="1">
      <alignment horizontal="center" vertical="center"/>
    </xf>
    <xf numFmtId="0" fontId="12" fillId="0" borderId="10" xfId="0" applyFont="1" applyBorder="1" applyAlignment="1">
      <alignment horizontal="justify" vertical="center" wrapText="1"/>
    </xf>
    <xf numFmtId="198" fontId="12" fillId="0" borderId="28" xfId="0" applyNumberFormat="1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justify" vertical="center" wrapText="1"/>
    </xf>
    <xf numFmtId="198" fontId="12" fillId="0" borderId="38" xfId="0" applyNumberFormat="1" applyFont="1" applyBorder="1" applyAlignment="1">
      <alignment horizontal="center" vertical="center" wrapText="1"/>
    </xf>
    <xf numFmtId="199" fontId="20" fillId="0" borderId="0" xfId="0" applyNumberFormat="1" applyFont="1" applyFill="1" applyBorder="1" applyAlignment="1">
      <alignment horizontal="center" vertical="top" wrapText="1"/>
    </xf>
    <xf numFmtId="2" fontId="21" fillId="0" borderId="0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0" fillId="0" borderId="0" xfId="0" applyNumberFormat="1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" fontId="12" fillId="0" borderId="39" xfId="0" applyNumberFormat="1" applyFont="1" applyBorder="1" applyAlignment="1">
      <alignment horizontal="center" vertical="center"/>
    </xf>
    <xf numFmtId="200" fontId="20" fillId="0" borderId="0" xfId="0" applyNumberFormat="1" applyFont="1" applyFill="1" applyBorder="1" applyAlignment="1">
      <alignment horizontal="center" vertical="top" wrapText="1"/>
    </xf>
    <xf numFmtId="177" fontId="12" fillId="0" borderId="10" xfId="0" applyNumberFormat="1" applyFont="1" applyBorder="1" applyAlignment="1">
      <alignment horizontal="justify" vertical="center" wrapText="1"/>
    </xf>
    <xf numFmtId="177" fontId="12" fillId="0" borderId="28" xfId="0" applyNumberFormat="1" applyFont="1" applyBorder="1" applyAlignment="1">
      <alignment horizontal="center" vertical="center" wrapText="1"/>
    </xf>
    <xf numFmtId="177" fontId="8" fillId="0" borderId="0" xfId="0" applyNumberFormat="1" applyFont="1" applyAlignment="1">
      <alignment/>
    </xf>
    <xf numFmtId="198" fontId="12" fillId="0" borderId="40" xfId="0" applyNumberFormat="1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28" xfId="61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26" xfId="0" applyFont="1" applyBorder="1" applyAlignment="1">
      <alignment horizontal="justify" vertical="center" wrapText="1"/>
    </xf>
    <xf numFmtId="198" fontId="15" fillId="0" borderId="27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8" fontId="12" fillId="0" borderId="28" xfId="0" applyNumberFormat="1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/>
    </xf>
    <xf numFmtId="172" fontId="12" fillId="0" borderId="28" xfId="0" applyNumberFormat="1" applyFont="1" applyBorder="1" applyAlignment="1">
      <alignment horizontal="center" vertical="center" wrapText="1"/>
    </xf>
    <xf numFmtId="16" fontId="8" fillId="0" borderId="3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0" fontId="12" fillId="0" borderId="19" xfId="0" applyFont="1" applyBorder="1" applyAlignment="1">
      <alignment horizontal="justify" vertical="center" wrapText="1"/>
    </xf>
    <xf numFmtId="172" fontId="12" fillId="0" borderId="28" xfId="61" applyNumberFormat="1" applyFont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8" fillId="0" borderId="3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/>
    </xf>
    <xf numFmtId="172" fontId="15" fillId="0" borderId="2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2" fontId="1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201" fontId="24" fillId="0" borderId="0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 vertical="center" wrapText="1"/>
    </xf>
    <xf numFmtId="201" fontId="12" fillId="0" borderId="38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49" fontId="6" fillId="0" borderId="11" xfId="0" applyNumberFormat="1" applyFont="1" applyBorder="1" applyAlignment="1">
      <alignment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8" xfId="0" applyFont="1" applyBorder="1" applyAlignment="1">
      <alignment wrapText="1"/>
    </xf>
    <xf numFmtId="0" fontId="6" fillId="0" borderId="18" xfId="0" applyFont="1" applyBorder="1" applyAlignment="1">
      <alignment/>
    </xf>
    <xf numFmtId="2" fontId="8" fillId="0" borderId="18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2" fontId="8" fillId="0" borderId="18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8" fillId="0" borderId="0" xfId="0" applyNumberFormat="1" applyFont="1" applyAlignment="1">
      <alignment/>
    </xf>
    <xf numFmtId="0" fontId="8" fillId="0" borderId="10" xfId="0" applyNumberFormat="1" applyFont="1" applyBorder="1" applyAlignment="1">
      <alignment wrapText="1"/>
    </xf>
    <xf numFmtId="0" fontId="10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8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8" fillId="33" borderId="10" xfId="56" applyFont="1" applyFill="1" applyBorder="1" applyAlignment="1">
      <alignment wrapText="1"/>
      <protection/>
    </xf>
    <xf numFmtId="49" fontId="6" fillId="33" borderId="10" xfId="56" applyNumberFormat="1" applyFont="1" applyFill="1" applyBorder="1" applyAlignment="1">
      <alignment/>
      <protection/>
    </xf>
    <xf numFmtId="0" fontId="8" fillId="0" borderId="10" xfId="55" applyFont="1" applyBorder="1" applyAlignment="1">
      <alignment wrapText="1"/>
      <protection/>
    </xf>
    <xf numFmtId="49" fontId="3" fillId="0" borderId="10" xfId="55" applyNumberFormat="1" applyFont="1" applyBorder="1" applyAlignment="1">
      <alignment/>
      <protection/>
    </xf>
    <xf numFmtId="49" fontId="3" fillId="33" borderId="10" xfId="56" applyNumberFormat="1" applyFill="1" applyBorder="1" applyAlignment="1">
      <alignment/>
      <protection/>
    </xf>
    <xf numFmtId="0" fontId="8" fillId="0" borderId="10" xfId="56" applyFont="1" applyFill="1" applyBorder="1" applyAlignment="1">
      <alignment wrapText="1"/>
      <protection/>
    </xf>
    <xf numFmtId="49" fontId="6" fillId="0" borderId="10" xfId="56" applyNumberFormat="1" applyFont="1" applyFill="1" applyBorder="1" applyAlignment="1">
      <alignment/>
      <protection/>
    </xf>
    <xf numFmtId="49" fontId="3" fillId="0" borderId="10" xfId="56" applyNumberFormat="1" applyFill="1" applyBorder="1" applyAlignment="1">
      <alignment/>
      <protection/>
    </xf>
    <xf numFmtId="0" fontId="8" fillId="0" borderId="10" xfId="55" applyFont="1" applyFill="1" applyBorder="1" applyAlignment="1">
      <alignment wrapText="1"/>
      <protection/>
    </xf>
    <xf numFmtId="49" fontId="6" fillId="0" borderId="10" xfId="55" applyNumberFormat="1" applyFont="1" applyFill="1" applyBorder="1" applyAlignment="1">
      <alignment/>
      <protection/>
    </xf>
    <xf numFmtId="4" fontId="8" fillId="0" borderId="18" xfId="0" applyNumberFormat="1" applyFont="1" applyFill="1" applyBorder="1" applyAlignment="1">
      <alignment horizontal="center"/>
    </xf>
    <xf numFmtId="2" fontId="8" fillId="0" borderId="0" xfId="0" applyNumberFormat="1" applyFont="1" applyFill="1" applyAlignment="1">
      <alignment/>
    </xf>
    <xf numFmtId="204" fontId="20" fillId="0" borderId="0" xfId="0" applyNumberFormat="1" applyFont="1" applyFill="1" applyBorder="1" applyAlignment="1">
      <alignment horizontal="center" vertical="top" wrapText="1"/>
    </xf>
    <xf numFmtId="4" fontId="8" fillId="0" borderId="0" xfId="0" applyNumberFormat="1" applyFont="1" applyFill="1" applyAlignment="1">
      <alignment/>
    </xf>
    <xf numFmtId="206" fontId="20" fillId="0" borderId="0" xfId="0" applyNumberFormat="1" applyFont="1" applyFill="1" applyBorder="1" applyAlignment="1">
      <alignment horizontal="center" vertical="top" wrapText="1"/>
    </xf>
    <xf numFmtId="208" fontId="20" fillId="0" borderId="0" xfId="0" applyNumberFormat="1" applyFont="1" applyFill="1" applyBorder="1" applyAlignment="1">
      <alignment horizontal="center" vertical="top" wrapText="1"/>
    </xf>
    <xf numFmtId="4" fontId="12" fillId="0" borderId="28" xfId="0" applyNumberFormat="1" applyFont="1" applyBorder="1" applyAlignment="1">
      <alignment horizontal="center" vertical="center" wrapText="1"/>
    </xf>
    <xf numFmtId="172" fontId="16" fillId="0" borderId="0" xfId="0" applyNumberFormat="1" applyFont="1" applyAlignment="1">
      <alignment/>
    </xf>
    <xf numFmtId="0" fontId="0" fillId="0" borderId="0" xfId="0" applyAlignment="1">
      <alignment/>
    </xf>
    <xf numFmtId="177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wrapText="1"/>
    </xf>
    <xf numFmtId="4" fontId="12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wrapText="1"/>
    </xf>
    <xf numFmtId="0" fontId="12" fillId="0" borderId="0" xfId="0" applyFont="1" applyAlignment="1">
      <alignment wrapText="1"/>
    </xf>
    <xf numFmtId="4" fontId="12" fillId="0" borderId="10" xfId="0" applyNumberFormat="1" applyFont="1" applyFill="1" applyBorder="1" applyAlignment="1">
      <alignment horizontal="center"/>
    </xf>
    <xf numFmtId="0" fontId="12" fillId="0" borderId="10" xfId="0" applyNumberFormat="1" applyFont="1" applyBorder="1" applyAlignment="1">
      <alignment wrapText="1"/>
    </xf>
    <xf numFmtId="0" fontId="12" fillId="0" borderId="10" xfId="54" applyFont="1" applyBorder="1" applyAlignment="1">
      <alignment wrapText="1"/>
      <protection/>
    </xf>
    <xf numFmtId="4" fontId="15" fillId="0" borderId="10" xfId="0" applyNumberFormat="1" applyFont="1" applyFill="1" applyBorder="1" applyAlignment="1">
      <alignment horizontal="center"/>
    </xf>
    <xf numFmtId="0" fontId="6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top" wrapText="1"/>
    </xf>
    <xf numFmtId="4" fontId="12" fillId="0" borderId="19" xfId="0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 wrapText="1"/>
    </xf>
    <xf numFmtId="0" fontId="12" fillId="0" borderId="0" xfId="0" applyFont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wrapText="1"/>
    </xf>
    <xf numFmtId="49" fontId="12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wrapText="1"/>
    </xf>
    <xf numFmtId="0" fontId="15" fillId="0" borderId="10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2" xfId="54" applyNumberFormat="1" applyFont="1" applyBorder="1" applyAlignment="1">
      <alignment horizontal="center" vertical="center"/>
      <protection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49" fontId="15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4" fontId="12" fillId="0" borderId="0" xfId="0" applyNumberFormat="1" applyFont="1" applyAlignment="1">
      <alignment/>
    </xf>
    <xf numFmtId="0" fontId="12" fillId="0" borderId="10" xfId="54" applyNumberFormat="1" applyFont="1" applyBorder="1" applyAlignment="1">
      <alignment wrapText="1"/>
      <protection/>
    </xf>
    <xf numFmtId="4" fontId="12" fillId="0" borderId="0" xfId="0" applyNumberFormat="1" applyFont="1" applyFill="1" applyBorder="1" applyAlignment="1">
      <alignment horizontal="center"/>
    </xf>
    <xf numFmtId="2" fontId="8" fillId="0" borderId="0" xfId="0" applyNumberFormat="1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10" xfId="0" applyNumberFormat="1" applyFont="1" applyFill="1" applyBorder="1" applyAlignment="1">
      <alignment wrapText="1"/>
    </xf>
    <xf numFmtId="2" fontId="12" fillId="0" borderId="10" xfId="0" applyNumberFormat="1" applyFont="1" applyBorder="1" applyAlignment="1">
      <alignment horizontal="center"/>
    </xf>
    <xf numFmtId="4" fontId="12" fillId="0" borderId="18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/>
    </xf>
    <xf numFmtId="2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49" fontId="0" fillId="0" borderId="0" xfId="0" applyNumberForma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right"/>
    </xf>
    <xf numFmtId="0" fontId="12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Border="1" applyAlignment="1">
      <alignment wrapText="1"/>
    </xf>
    <xf numFmtId="2" fontId="12" fillId="0" borderId="12" xfId="0" applyNumberFormat="1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2" fontId="12" fillId="0" borderId="19" xfId="0" applyNumberFormat="1" applyFont="1" applyBorder="1" applyAlignment="1">
      <alignment horizontal="center" vertical="center"/>
    </xf>
    <xf numFmtId="0" fontId="63" fillId="35" borderId="0" xfId="0" applyFont="1" applyFill="1" applyBorder="1" applyAlignment="1">
      <alignment/>
    </xf>
    <xf numFmtId="0" fontId="63" fillId="35" borderId="0" xfId="0" applyFont="1" applyFill="1" applyBorder="1" applyAlignment="1">
      <alignment/>
    </xf>
    <xf numFmtId="4" fontId="64" fillId="35" borderId="0" xfId="0" applyNumberFormat="1" applyFont="1" applyFill="1" applyBorder="1" applyAlignment="1">
      <alignment/>
    </xf>
    <xf numFmtId="2" fontId="64" fillId="35" borderId="0" xfId="0" applyNumberFormat="1" applyFont="1" applyFill="1" applyBorder="1" applyAlignment="1">
      <alignment/>
    </xf>
    <xf numFmtId="0" fontId="64" fillId="35" borderId="20" xfId="0" applyFont="1" applyFill="1" applyBorder="1" applyAlignment="1">
      <alignment/>
    </xf>
    <xf numFmtId="2" fontId="64" fillId="35" borderId="20" xfId="0" applyNumberFormat="1" applyFont="1" applyFill="1" applyBorder="1" applyAlignment="1">
      <alignment horizontal="center" vertical="center"/>
    </xf>
    <xf numFmtId="0" fontId="64" fillId="35" borderId="2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0" fontId="64" fillId="0" borderId="0" xfId="0" applyFont="1" applyBorder="1" applyAlignment="1">
      <alignment/>
    </xf>
    <xf numFmtId="0" fontId="64" fillId="0" borderId="0" xfId="0" applyFont="1" applyBorder="1" applyAlignment="1">
      <alignment/>
    </xf>
    <xf numFmtId="0" fontId="64" fillId="0" borderId="20" xfId="0" applyFont="1" applyBorder="1" applyAlignment="1">
      <alignment/>
    </xf>
    <xf numFmtId="4" fontId="64" fillId="0" borderId="20" xfId="0" applyNumberFormat="1" applyFont="1" applyBorder="1" applyAlignment="1">
      <alignment horizontal="center"/>
    </xf>
    <xf numFmtId="2" fontId="64" fillId="0" borderId="20" xfId="0" applyNumberFormat="1" applyFont="1" applyBorder="1" applyAlignment="1">
      <alignment horizontal="center" vertical="center"/>
    </xf>
    <xf numFmtId="4" fontId="64" fillId="0" borderId="20" xfId="0" applyNumberFormat="1" applyFont="1" applyFill="1" applyBorder="1" applyAlignment="1">
      <alignment horizontal="center"/>
    </xf>
    <xf numFmtId="2" fontId="64" fillId="0" borderId="20" xfId="0" applyNumberFormat="1" applyFont="1" applyBorder="1" applyAlignment="1">
      <alignment horizontal="center"/>
    </xf>
    <xf numFmtId="0" fontId="4" fillId="0" borderId="0" xfId="0" applyFont="1" applyBorder="1" applyAlignment="1">
      <alignment horizontal="justify"/>
    </xf>
    <xf numFmtId="0" fontId="0" fillId="0" borderId="0" xfId="0" applyFont="1" applyFill="1" applyBorder="1" applyAlignment="1">
      <alignment horizontal="left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Fill="1" applyAlignment="1">
      <alignment horizontal="left" wrapText="1"/>
    </xf>
    <xf numFmtId="0" fontId="12" fillId="0" borderId="43" xfId="0" applyNumberFormat="1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5" fillId="0" borderId="1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5" fillId="0" borderId="43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49" xfId="0" applyFont="1" applyFill="1" applyBorder="1" applyAlignment="1">
      <alignment horizontal="left" vertical="center" wrapText="1"/>
    </xf>
    <xf numFmtId="0" fontId="12" fillId="0" borderId="5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8" fillId="0" borderId="0" xfId="0" applyFont="1" applyFill="1" applyAlignment="1">
      <alignment horizontal="right" vertical="top" wrapText="1"/>
    </xf>
    <xf numFmtId="0" fontId="15" fillId="0" borderId="0" xfId="0" applyFont="1" applyFill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/>
    </xf>
    <xf numFmtId="0" fontId="15" fillId="0" borderId="51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/>
    </xf>
    <xf numFmtId="0" fontId="15" fillId="0" borderId="52" xfId="0" applyFont="1" applyFill="1" applyBorder="1" applyAlignment="1">
      <alignment horizontal="center"/>
    </xf>
    <xf numFmtId="0" fontId="15" fillId="0" borderId="53" xfId="0" applyFont="1" applyFill="1" applyBorder="1" applyAlignment="1">
      <alignment horizontal="center" vertical="center" wrapText="1"/>
    </xf>
    <xf numFmtId="0" fontId="15" fillId="0" borderId="54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left" vertical="center" wrapText="1"/>
    </xf>
    <xf numFmtId="0" fontId="15" fillId="0" borderId="56" xfId="0" applyFont="1" applyFill="1" applyBorder="1" applyAlignment="1">
      <alignment horizontal="left" vertical="center" wrapText="1"/>
    </xf>
    <xf numFmtId="0" fontId="15" fillId="0" borderId="54" xfId="0" applyFont="1" applyFill="1" applyBorder="1" applyAlignment="1">
      <alignment horizontal="left" vertical="center" wrapText="1"/>
    </xf>
    <xf numFmtId="0" fontId="15" fillId="0" borderId="57" xfId="0" applyFont="1" applyFill="1" applyBorder="1" applyAlignment="1">
      <alignment horizontal="left" vertical="center" wrapText="1"/>
    </xf>
    <xf numFmtId="0" fontId="15" fillId="0" borderId="58" xfId="0" applyFont="1" applyFill="1" applyBorder="1" applyAlignment="1">
      <alignment horizontal="left" vertical="center" wrapText="1"/>
    </xf>
    <xf numFmtId="0" fontId="15" fillId="0" borderId="59" xfId="0" applyFont="1" applyFill="1" applyBorder="1" applyAlignment="1">
      <alignment horizontal="left" vertical="center" wrapText="1"/>
    </xf>
    <xf numFmtId="0" fontId="15" fillId="0" borderId="41" xfId="0" applyFont="1" applyFill="1" applyBorder="1" applyAlignment="1">
      <alignment horizontal="left" vertical="center" wrapText="1"/>
    </xf>
    <xf numFmtId="0" fontId="15" fillId="0" borderId="26" xfId="0" applyFont="1" applyFill="1" applyBorder="1" applyAlignment="1">
      <alignment horizontal="left" vertical="center" wrapText="1"/>
    </xf>
    <xf numFmtId="0" fontId="15" fillId="0" borderId="60" xfId="0" applyFont="1" applyFill="1" applyBorder="1" applyAlignment="1">
      <alignment horizontal="left" vertical="center" wrapText="1"/>
    </xf>
    <xf numFmtId="0" fontId="15" fillId="0" borderId="61" xfId="0" applyFont="1" applyFill="1" applyBorder="1" applyAlignment="1">
      <alignment horizontal="left" vertical="center" wrapText="1"/>
    </xf>
    <xf numFmtId="0" fontId="15" fillId="0" borderId="62" xfId="0" applyFont="1" applyFill="1" applyBorder="1" applyAlignment="1">
      <alignment horizontal="left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31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12" fillId="0" borderId="49" xfId="0" applyFont="1" applyFill="1" applyBorder="1" applyAlignment="1">
      <alignment horizontal="justify" vertical="center" wrapText="1"/>
    </xf>
    <xf numFmtId="0" fontId="12" fillId="0" borderId="50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vertical="center" wrapText="1"/>
    </xf>
    <xf numFmtId="0" fontId="12" fillId="0" borderId="37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/>
    </xf>
    <xf numFmtId="0" fontId="15" fillId="0" borderId="41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left" vertical="center" wrapText="1"/>
    </xf>
    <xf numFmtId="0" fontId="15" fillId="0" borderId="25" xfId="0" applyFont="1" applyFill="1" applyBorder="1" applyAlignment="1">
      <alignment horizontal="left" vertical="center" wrapText="1"/>
    </xf>
    <xf numFmtId="0" fontId="15" fillId="0" borderId="52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12" fillId="0" borderId="37" xfId="0" applyFont="1" applyBorder="1" applyAlignment="1">
      <alignment horizontal="center" vertical="center" wrapText="1"/>
    </xf>
    <xf numFmtId="198" fontId="12" fillId="0" borderId="63" xfId="61" applyNumberFormat="1" applyFont="1" applyBorder="1" applyAlignment="1">
      <alignment horizontal="center" vertical="center"/>
    </xf>
    <xf numFmtId="198" fontId="12" fillId="0" borderId="64" xfId="61" applyNumberFormat="1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12" fillId="0" borderId="42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98" fontId="12" fillId="0" borderId="38" xfId="0" applyNumberFormat="1" applyFont="1" applyBorder="1" applyAlignment="1">
      <alignment horizontal="center" vertical="center" wrapText="1"/>
    </xf>
    <xf numFmtId="198" fontId="12" fillId="0" borderId="65" xfId="0" applyNumberFormat="1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172" fontId="12" fillId="0" borderId="38" xfId="0" applyNumberFormat="1" applyFont="1" applyBorder="1" applyAlignment="1">
      <alignment horizontal="center" vertical="center" wrapText="1"/>
    </xf>
    <xf numFmtId="172" fontId="12" fillId="0" borderId="65" xfId="0" applyNumberFormat="1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198" fontId="12" fillId="0" borderId="38" xfId="61" applyNumberFormat="1" applyFont="1" applyBorder="1" applyAlignment="1">
      <alignment horizontal="center" vertical="center"/>
    </xf>
    <xf numFmtId="198" fontId="12" fillId="0" borderId="65" xfId="61" applyNumberFormat="1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172" fontId="12" fillId="0" borderId="38" xfId="61" applyNumberFormat="1" applyFont="1" applyBorder="1" applyAlignment="1">
      <alignment horizontal="center" vertical="center"/>
    </xf>
    <xf numFmtId="172" fontId="12" fillId="0" borderId="65" xfId="61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2" xfId="53"/>
    <cellStyle name="Обычный_доходпр6" xfId="54"/>
    <cellStyle name="Обычный_прил 1" xfId="55"/>
    <cellStyle name="Обычный_прил 6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0;&#1080;&#1085;&#1086;&#1090;&#1076;\Desktop\&#1056;&#1045;&#1064;&#1045;&#1053;&#1048;&#1071;%20&#1086;%20&#1073;&#1102;&#1076;&#1078;&#1077;&#1090;&#1077;\&#1041;&#1070;&#1044;&#1046;&#1045;&#1058;%202017-2019%20&#1087;&#1088;&#1086;&#1077;&#1082;&#1090;&#1099;%20&#1074;%20&#1084;&#1080;&#1085;&#1092;&#1080;&#1085;\&#1080;&#1079;&#1084;%20&#1080;&#1102;&#1085;&#1100;\&#1087;&#1088;&#1080;&#1083;%201,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.фин.деф пр1,2"/>
      <sheetName val="прил 1"/>
      <sheetName val="прил 2"/>
      <sheetName val="черн"/>
      <sheetName val="прил 3"/>
      <sheetName val="продолжение прил 3"/>
      <sheetName val="прил 4"/>
      <sheetName val="продолжение прил 4"/>
    </sheetNames>
    <sheetDataSet>
      <sheetData sheetId="3">
        <row r="105">
          <cell r="Z105">
            <v>67232.5</v>
          </cell>
        </row>
        <row r="106">
          <cell r="Z106">
            <v>67232.5</v>
          </cell>
        </row>
        <row r="107">
          <cell r="Z107">
            <v>67232.5</v>
          </cell>
        </row>
        <row r="110">
          <cell r="Z110">
            <v>13429.5</v>
          </cell>
        </row>
        <row r="150">
          <cell r="Z150" t="str">
            <v> </v>
          </cell>
        </row>
        <row r="151">
          <cell r="Z151" t="str">
            <v> </v>
          </cell>
        </row>
        <row r="154">
          <cell r="Y154" t="str">
            <v> </v>
          </cell>
        </row>
        <row r="155">
          <cell r="Y155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2:F87"/>
  <sheetViews>
    <sheetView view="pageBreakPreview" zoomScaleSheetLayoutView="100" zoomScalePageLayoutView="0" workbookViewId="0" topLeftCell="A56">
      <selection activeCell="E47" sqref="E47"/>
    </sheetView>
  </sheetViews>
  <sheetFormatPr defaultColWidth="9.00390625" defaultRowHeight="12.75"/>
  <cols>
    <col min="1" max="1" width="24.50390625" style="0" customWidth="1"/>
    <col min="2" max="2" width="48.00390625" style="0" customWidth="1"/>
    <col min="3" max="3" width="15.625" style="0" hidden="1" customWidth="1"/>
    <col min="4" max="4" width="0.12890625" style="0" hidden="1" customWidth="1"/>
    <col min="5" max="5" width="16.625" style="0" customWidth="1"/>
    <col min="6" max="6" width="23.125" style="0" customWidth="1"/>
    <col min="7" max="7" width="26.375" style="0" customWidth="1"/>
  </cols>
  <sheetData>
    <row r="1" ht="12.75" hidden="1"/>
    <row r="2" ht="12.75" hidden="1">
      <c r="A2" t="s">
        <v>22</v>
      </c>
    </row>
    <row r="3" ht="12.75" hidden="1">
      <c r="A3" t="s">
        <v>23</v>
      </c>
    </row>
    <row r="4" ht="12.75" hidden="1">
      <c r="A4" t="s">
        <v>24</v>
      </c>
    </row>
    <row r="5" ht="12.75" hidden="1"/>
    <row r="6" spans="2:3" ht="42.75" customHeight="1" hidden="1">
      <c r="B6" s="345" t="s">
        <v>25</v>
      </c>
      <c r="C6" s="345"/>
    </row>
    <row r="7" ht="44.25" customHeight="1" hidden="1">
      <c r="C7" s="1"/>
    </row>
    <row r="8" spans="1:3" ht="28.5" customHeight="1" hidden="1">
      <c r="A8" s="2" t="s">
        <v>26</v>
      </c>
      <c r="B8" s="3" t="s">
        <v>27</v>
      </c>
      <c r="C8" s="3" t="s">
        <v>28</v>
      </c>
    </row>
    <row r="9" spans="1:4" ht="12.75" hidden="1">
      <c r="A9" s="4"/>
      <c r="B9" s="5" t="s">
        <v>29</v>
      </c>
      <c r="C9" s="6">
        <v>3340</v>
      </c>
      <c r="D9" s="7"/>
    </row>
    <row r="10" spans="1:3" ht="12.75" hidden="1">
      <c r="A10" s="4"/>
      <c r="B10" s="4" t="s">
        <v>30</v>
      </c>
      <c r="C10" s="6">
        <v>2530.7</v>
      </c>
    </row>
    <row r="11" spans="1:6" ht="15.75" customHeight="1" hidden="1">
      <c r="A11" s="4"/>
      <c r="B11" s="8" t="s">
        <v>31</v>
      </c>
      <c r="C11" s="6">
        <v>2531</v>
      </c>
      <c r="D11" s="7"/>
      <c r="F11" s="9"/>
    </row>
    <row r="12" spans="1:6" ht="12.75" hidden="1">
      <c r="A12" s="4"/>
      <c r="B12" s="8" t="s">
        <v>32</v>
      </c>
      <c r="C12" s="6"/>
      <c r="D12" s="7"/>
      <c r="F12" s="9"/>
    </row>
    <row r="13" spans="1:3" ht="12.75" hidden="1">
      <c r="A13" s="10" t="s">
        <v>33</v>
      </c>
      <c r="B13" s="11" t="s">
        <v>34</v>
      </c>
      <c r="C13" s="6">
        <v>936</v>
      </c>
    </row>
    <row r="14" spans="1:3" ht="12.75" hidden="1">
      <c r="A14" s="4"/>
      <c r="B14" s="11" t="s">
        <v>35</v>
      </c>
      <c r="C14" s="6"/>
    </row>
    <row r="15" spans="1:3" ht="12.75" hidden="1">
      <c r="A15" s="4"/>
      <c r="B15" s="11" t="s">
        <v>36</v>
      </c>
      <c r="C15" s="6">
        <v>127</v>
      </c>
    </row>
    <row r="16" spans="1:3" ht="12.75" hidden="1">
      <c r="A16" s="4"/>
      <c r="B16" s="11" t="s">
        <v>259</v>
      </c>
      <c r="C16" s="6">
        <f>C9-C10</f>
        <v>809.3000000000002</v>
      </c>
    </row>
    <row r="17" spans="1:3" ht="26.25" hidden="1">
      <c r="A17" s="4" t="s">
        <v>260</v>
      </c>
      <c r="B17" s="11" t="s">
        <v>261</v>
      </c>
      <c r="C17" s="6">
        <v>0</v>
      </c>
    </row>
    <row r="18" spans="1:3" ht="66" hidden="1">
      <c r="A18" s="4" t="s">
        <v>262</v>
      </c>
      <c r="B18" s="8" t="s">
        <v>263</v>
      </c>
      <c r="C18" s="6">
        <v>2404</v>
      </c>
    </row>
    <row r="19" spans="1:5" ht="78.75" hidden="1">
      <c r="A19" s="4" t="s">
        <v>264</v>
      </c>
      <c r="B19" s="12" t="s">
        <v>265</v>
      </c>
      <c r="C19" s="6">
        <v>10962</v>
      </c>
      <c r="E19" s="13">
        <f>C19-C25</f>
        <v>2404</v>
      </c>
    </row>
    <row r="20" spans="1:3" ht="9" customHeight="1" hidden="1">
      <c r="A20" s="4" t="s">
        <v>266</v>
      </c>
      <c r="B20" s="11" t="s">
        <v>267</v>
      </c>
      <c r="C20" s="14" t="e">
        <f>#REF!</f>
        <v>#REF!</v>
      </c>
    </row>
    <row r="21" spans="1:3" ht="39" hidden="1">
      <c r="A21" s="4" t="s">
        <v>268</v>
      </c>
      <c r="B21" s="11" t="s">
        <v>269</v>
      </c>
      <c r="C21" s="6">
        <v>0</v>
      </c>
    </row>
    <row r="22" spans="1:3" ht="216.75" customHeight="1" hidden="1">
      <c r="A22" s="4"/>
      <c r="B22" s="15" t="s">
        <v>270</v>
      </c>
      <c r="C22" s="16"/>
    </row>
    <row r="23" spans="1:3" ht="26.25" hidden="1">
      <c r="A23" s="4" t="s">
        <v>271</v>
      </c>
      <c r="B23" s="11" t="s">
        <v>272</v>
      </c>
      <c r="C23" s="6">
        <v>6962</v>
      </c>
    </row>
    <row r="24" spans="1:3" ht="26.25" hidden="1">
      <c r="A24" s="17" t="s">
        <v>273</v>
      </c>
      <c r="B24" s="11" t="s">
        <v>274</v>
      </c>
      <c r="C24" s="6">
        <v>6962</v>
      </c>
    </row>
    <row r="25" spans="1:3" ht="78.75" hidden="1">
      <c r="A25" s="18" t="s">
        <v>275</v>
      </c>
      <c r="B25" s="19" t="s">
        <v>276</v>
      </c>
      <c r="C25" s="14">
        <v>8558</v>
      </c>
    </row>
    <row r="26" spans="1:3" ht="15" customHeight="1" hidden="1">
      <c r="A26" s="4" t="s">
        <v>277</v>
      </c>
      <c r="B26" s="12" t="s">
        <v>278</v>
      </c>
      <c r="C26" s="14">
        <v>8558</v>
      </c>
    </row>
    <row r="27" spans="1:3" ht="39" hidden="1">
      <c r="A27" s="4" t="s">
        <v>279</v>
      </c>
      <c r="B27" s="12" t="s">
        <v>280</v>
      </c>
      <c r="C27" s="14">
        <v>8558</v>
      </c>
    </row>
    <row r="28" spans="1:3" ht="26.25" hidden="1">
      <c r="A28" s="4" t="s">
        <v>281</v>
      </c>
      <c r="B28" s="11" t="s">
        <v>272</v>
      </c>
      <c r="C28" s="14">
        <v>0</v>
      </c>
    </row>
    <row r="29" spans="1:3" ht="26.25" hidden="1">
      <c r="A29" s="4" t="s">
        <v>365</v>
      </c>
      <c r="B29" s="11" t="s">
        <v>274</v>
      </c>
      <c r="C29" s="14">
        <v>0</v>
      </c>
    </row>
    <row r="30" spans="1:3" ht="39" hidden="1">
      <c r="A30" s="20" t="s">
        <v>366</v>
      </c>
      <c r="B30" s="21" t="s">
        <v>367</v>
      </c>
      <c r="C30" s="14">
        <v>0</v>
      </c>
    </row>
    <row r="31" spans="1:3" ht="39" hidden="1">
      <c r="A31" s="4" t="s">
        <v>368</v>
      </c>
      <c r="B31" s="12" t="s">
        <v>369</v>
      </c>
      <c r="C31" s="14">
        <v>0</v>
      </c>
    </row>
    <row r="32" spans="1:3" ht="39" hidden="1">
      <c r="A32" s="4" t="s">
        <v>370</v>
      </c>
      <c r="B32" s="12" t="s">
        <v>7</v>
      </c>
      <c r="C32" s="14">
        <v>0</v>
      </c>
    </row>
    <row r="33" spans="1:3" ht="39" hidden="1">
      <c r="A33" s="20" t="s">
        <v>8</v>
      </c>
      <c r="B33" s="21" t="s">
        <v>9</v>
      </c>
      <c r="C33" s="14">
        <v>0</v>
      </c>
    </row>
    <row r="34" spans="1:3" ht="39" hidden="1">
      <c r="A34" s="4" t="s">
        <v>10</v>
      </c>
      <c r="B34" s="12" t="s">
        <v>11</v>
      </c>
      <c r="C34" s="14">
        <v>0</v>
      </c>
    </row>
    <row r="35" spans="1:3" ht="13.5" customHeight="1" hidden="1">
      <c r="A35" s="4" t="s">
        <v>12</v>
      </c>
      <c r="B35" s="12" t="s">
        <v>13</v>
      </c>
      <c r="C35" s="14">
        <v>0</v>
      </c>
    </row>
    <row r="36" spans="1:3" ht="66" hidden="1">
      <c r="A36" s="4" t="s">
        <v>14</v>
      </c>
      <c r="B36" s="12" t="s">
        <v>15</v>
      </c>
      <c r="C36" s="14">
        <v>0</v>
      </c>
    </row>
    <row r="37" spans="1:3" ht="26.25" hidden="1">
      <c r="A37" s="4" t="s">
        <v>16</v>
      </c>
      <c r="B37" s="12" t="s">
        <v>17</v>
      </c>
      <c r="C37" s="14"/>
    </row>
    <row r="38" spans="1:3" ht="66" hidden="1">
      <c r="A38" s="4" t="s">
        <v>18</v>
      </c>
      <c r="B38" s="12" t="s">
        <v>19</v>
      </c>
      <c r="C38" s="14">
        <v>0</v>
      </c>
    </row>
    <row r="39" spans="1:3" ht="26.25" hidden="1">
      <c r="A39" s="4" t="s">
        <v>20</v>
      </c>
      <c r="B39" s="12" t="s">
        <v>21</v>
      </c>
      <c r="C39" s="14">
        <v>0</v>
      </c>
    </row>
    <row r="40" spans="1:3" ht="12.75" hidden="1">
      <c r="A40" s="22"/>
      <c r="B40" s="23"/>
      <c r="C40" s="24"/>
    </row>
    <row r="41" spans="2:6" ht="12.75">
      <c r="B41" s="346"/>
      <c r="C41" s="346"/>
      <c r="D41" s="346"/>
      <c r="E41" s="346"/>
      <c r="F41" s="346"/>
    </row>
    <row r="42" spans="5:6" ht="111" customHeight="1">
      <c r="E42" s="349" t="s">
        <v>122</v>
      </c>
      <c r="F42" s="349"/>
    </row>
    <row r="43" spans="5:6" ht="30.75" customHeight="1">
      <c r="E43" s="82"/>
      <c r="F43" s="82"/>
    </row>
    <row r="44" spans="5:6" ht="9" customHeight="1">
      <c r="E44" s="82"/>
      <c r="F44" s="82"/>
    </row>
    <row r="45" spans="1:6" ht="15">
      <c r="A45" s="347" t="s">
        <v>374</v>
      </c>
      <c r="B45" s="347"/>
      <c r="C45" s="347"/>
      <c r="D45" s="347"/>
      <c r="E45" s="347"/>
      <c r="F45" s="347"/>
    </row>
    <row r="46" ht="12.75">
      <c r="B46" t="s">
        <v>388</v>
      </c>
    </row>
    <row r="47" spans="1:5" ht="26.25">
      <c r="A47" s="2" t="s">
        <v>26</v>
      </c>
      <c r="B47" s="3" t="s">
        <v>27</v>
      </c>
      <c r="C47" s="3" t="s">
        <v>28</v>
      </c>
      <c r="E47" s="3" t="s">
        <v>28</v>
      </c>
    </row>
    <row r="48" spans="1:5" ht="12.75">
      <c r="A48" s="25"/>
      <c r="B48" s="26" t="s">
        <v>29</v>
      </c>
      <c r="C48" s="6">
        <v>3312</v>
      </c>
      <c r="E48" s="4">
        <v>3025.65</v>
      </c>
    </row>
    <row r="49" spans="1:5" ht="12.75">
      <c r="A49" s="25"/>
      <c r="B49" s="25" t="s">
        <v>30</v>
      </c>
      <c r="C49" s="6">
        <v>3312</v>
      </c>
      <c r="E49" s="4">
        <v>3025.65</v>
      </c>
    </row>
    <row r="50" spans="1:5" ht="26.25">
      <c r="A50" s="25"/>
      <c r="B50" s="27" t="s">
        <v>389</v>
      </c>
      <c r="C50" s="6">
        <v>3312</v>
      </c>
      <c r="E50" s="4">
        <v>3207.4</v>
      </c>
    </row>
    <row r="51" spans="1:5" ht="26.25">
      <c r="A51" s="28" t="s">
        <v>390</v>
      </c>
      <c r="B51" s="29" t="s">
        <v>391</v>
      </c>
      <c r="C51" s="30"/>
      <c r="E51" s="4">
        <v>3207.4</v>
      </c>
    </row>
    <row r="52" spans="1:5" ht="26.25">
      <c r="A52" s="31" t="s">
        <v>392</v>
      </c>
      <c r="B52" s="32" t="s">
        <v>489</v>
      </c>
      <c r="C52" s="30"/>
      <c r="E52" s="4">
        <v>3207.4</v>
      </c>
    </row>
    <row r="53" spans="1:5" ht="39">
      <c r="A53" s="31" t="s">
        <v>490</v>
      </c>
      <c r="B53" s="32" t="s">
        <v>491</v>
      </c>
      <c r="E53" s="4">
        <v>3207.4</v>
      </c>
    </row>
    <row r="54" spans="1:5" ht="26.25">
      <c r="A54" s="31" t="s">
        <v>492</v>
      </c>
      <c r="B54" s="32" t="s">
        <v>493</v>
      </c>
      <c r="E54" s="4">
        <v>0</v>
      </c>
    </row>
    <row r="55" spans="1:5" ht="26.25">
      <c r="A55" s="31" t="s">
        <v>494</v>
      </c>
      <c r="B55" s="32" t="s">
        <v>495</v>
      </c>
      <c r="E55" s="33">
        <v>0</v>
      </c>
    </row>
    <row r="56" spans="1:5" ht="26.25">
      <c r="A56" s="28" t="s">
        <v>496</v>
      </c>
      <c r="B56" s="34" t="s">
        <v>497</v>
      </c>
      <c r="E56" s="4">
        <v>0</v>
      </c>
    </row>
    <row r="57" spans="1:5" ht="39">
      <c r="A57" s="31" t="s">
        <v>498</v>
      </c>
      <c r="B57" s="32" t="s">
        <v>513</v>
      </c>
      <c r="E57" s="4">
        <v>5000</v>
      </c>
    </row>
    <row r="58" spans="1:5" ht="39">
      <c r="A58" s="31" t="s">
        <v>514</v>
      </c>
      <c r="B58" s="32" t="s">
        <v>515</v>
      </c>
      <c r="E58" s="4">
        <v>5000</v>
      </c>
    </row>
    <row r="59" spans="1:5" ht="39">
      <c r="A59" s="31" t="s">
        <v>516</v>
      </c>
      <c r="B59" s="32" t="s">
        <v>517</v>
      </c>
      <c r="C59" s="4"/>
      <c r="D59" s="4"/>
      <c r="E59" s="4">
        <v>5000</v>
      </c>
    </row>
    <row r="60" spans="1:5" ht="39.75" customHeight="1">
      <c r="A60" s="35" t="s">
        <v>518</v>
      </c>
      <c r="B60" s="36" t="s">
        <v>520</v>
      </c>
      <c r="E60" s="37">
        <v>5000</v>
      </c>
    </row>
    <row r="61" spans="1:5" ht="26.25">
      <c r="A61" s="75" t="s">
        <v>193</v>
      </c>
      <c r="B61" s="76" t="s">
        <v>194</v>
      </c>
      <c r="C61" s="20"/>
      <c r="D61" s="20"/>
      <c r="E61" s="26">
        <v>0</v>
      </c>
    </row>
    <row r="62" spans="1:5" ht="26.25">
      <c r="A62" s="25" t="s">
        <v>195</v>
      </c>
      <c r="B62" s="38" t="s">
        <v>196</v>
      </c>
      <c r="C62" s="25"/>
      <c r="D62" s="25"/>
      <c r="E62" s="25">
        <v>3000</v>
      </c>
    </row>
    <row r="63" spans="1:5" ht="52.5">
      <c r="A63" s="74" t="s">
        <v>197</v>
      </c>
      <c r="B63" s="38" t="s">
        <v>198</v>
      </c>
      <c r="C63" s="25"/>
      <c r="D63" s="25"/>
      <c r="E63" s="25">
        <v>-3000</v>
      </c>
    </row>
    <row r="64" spans="1:5" ht="12.75">
      <c r="A64" s="72"/>
      <c r="B64" s="73"/>
      <c r="C64" s="22"/>
      <c r="D64" s="22"/>
      <c r="E64" s="22"/>
    </row>
    <row r="65" spans="1:6" ht="12.75">
      <c r="A65" s="72"/>
      <c r="B65" s="73"/>
      <c r="C65" s="22"/>
      <c r="D65" s="22"/>
      <c r="E65" s="22"/>
      <c r="F65" t="s">
        <v>388</v>
      </c>
    </row>
    <row r="66" spans="1:5" ht="21" customHeight="1">
      <c r="A66" s="72"/>
      <c r="B66" s="73"/>
      <c r="C66" s="22"/>
      <c r="D66" s="22"/>
      <c r="E66" s="22"/>
    </row>
    <row r="67" spans="1:2" ht="15.75" customHeight="1">
      <c r="A67" s="39"/>
      <c r="B67" s="40"/>
    </row>
    <row r="69" spans="5:6" ht="104.25" customHeight="1" hidden="1">
      <c r="E69" s="349" t="s">
        <v>202</v>
      </c>
      <c r="F69" s="349"/>
    </row>
    <row r="70" ht="12.75" hidden="1"/>
    <row r="71" spans="1:6" ht="12.75" hidden="1">
      <c r="A71" s="348" t="s">
        <v>372</v>
      </c>
      <c r="B71" s="348"/>
      <c r="C71" s="348"/>
      <c r="D71" s="348"/>
      <c r="E71" s="348"/>
      <c r="F71" s="348"/>
    </row>
    <row r="72" ht="12.75" hidden="1">
      <c r="B72" t="s">
        <v>388</v>
      </c>
    </row>
    <row r="73" spans="1:6" ht="26.25" hidden="1">
      <c r="A73" s="2" t="s">
        <v>26</v>
      </c>
      <c r="B73" s="3" t="s">
        <v>27</v>
      </c>
      <c r="C73" s="3" t="s">
        <v>28</v>
      </c>
      <c r="E73" s="2" t="s">
        <v>373</v>
      </c>
      <c r="F73" s="2" t="s">
        <v>375</v>
      </c>
    </row>
    <row r="74" spans="1:6" ht="12.75" hidden="1">
      <c r="A74" s="25"/>
      <c r="B74" s="26" t="s">
        <v>29</v>
      </c>
      <c r="C74" s="6">
        <v>3312</v>
      </c>
      <c r="E74" s="4">
        <f>E78+E83</f>
        <v>2899.4</v>
      </c>
      <c r="F74" s="4">
        <v>2939.3</v>
      </c>
    </row>
    <row r="75" spans="1:6" ht="12.75" hidden="1">
      <c r="A75" s="25"/>
      <c r="B75" s="25" t="s">
        <v>30</v>
      </c>
      <c r="C75" s="6">
        <v>3312</v>
      </c>
      <c r="E75" s="4">
        <v>2899.4</v>
      </c>
      <c r="F75" s="4">
        <f>F74</f>
        <v>2939.3</v>
      </c>
    </row>
    <row r="76" spans="1:6" ht="24.75" customHeight="1" hidden="1">
      <c r="A76" s="25"/>
      <c r="B76" s="27" t="s">
        <v>31</v>
      </c>
      <c r="C76" s="6">
        <v>3312</v>
      </c>
      <c r="E76" s="4"/>
      <c r="F76" s="4"/>
    </row>
    <row r="77" spans="1:6" ht="26.25" hidden="1">
      <c r="A77" s="41" t="s">
        <v>519</v>
      </c>
      <c r="B77" s="42" t="s">
        <v>261</v>
      </c>
      <c r="C77" s="6">
        <v>0</v>
      </c>
      <c r="E77" s="4"/>
      <c r="F77" s="4"/>
    </row>
    <row r="78" spans="1:6" ht="26.25" hidden="1">
      <c r="A78" s="28" t="s">
        <v>390</v>
      </c>
      <c r="B78" s="29" t="s">
        <v>391</v>
      </c>
      <c r="C78" s="30"/>
      <c r="E78" s="4">
        <f>E79-E81</f>
        <v>2899.4</v>
      </c>
      <c r="F78" s="4">
        <v>2939.3</v>
      </c>
    </row>
    <row r="79" spans="1:6" ht="26.25" hidden="1">
      <c r="A79" s="31" t="s">
        <v>392</v>
      </c>
      <c r="B79" s="32" t="s">
        <v>489</v>
      </c>
      <c r="C79" s="30"/>
      <c r="E79" s="4">
        <v>2899.4</v>
      </c>
      <c r="F79" s="4">
        <v>2939.3</v>
      </c>
    </row>
    <row r="80" spans="1:6" ht="39" hidden="1">
      <c r="A80" s="31" t="s">
        <v>490</v>
      </c>
      <c r="B80" s="32" t="s">
        <v>491</v>
      </c>
      <c r="E80" s="4">
        <v>2899.4</v>
      </c>
      <c r="F80" s="4">
        <v>2939.3</v>
      </c>
    </row>
    <row r="81" spans="1:6" ht="26.25" hidden="1">
      <c r="A81" s="31" t="s">
        <v>492</v>
      </c>
      <c r="B81" s="32" t="s">
        <v>493</v>
      </c>
      <c r="E81" s="4"/>
      <c r="F81" s="4"/>
    </row>
    <row r="82" spans="1:6" ht="26.25" hidden="1">
      <c r="A82" s="31" t="s">
        <v>494</v>
      </c>
      <c r="B82" s="32" t="s">
        <v>495</v>
      </c>
      <c r="E82" s="4"/>
      <c r="F82" s="4"/>
    </row>
    <row r="83" spans="1:6" ht="26.25" hidden="1">
      <c r="A83" s="28" t="s">
        <v>496</v>
      </c>
      <c r="B83" s="34" t="s">
        <v>497</v>
      </c>
      <c r="E83" s="4">
        <v>0</v>
      </c>
      <c r="F83" s="4">
        <v>0</v>
      </c>
    </row>
    <row r="84" spans="1:6" ht="39" hidden="1">
      <c r="A84" s="31" t="s">
        <v>498</v>
      </c>
      <c r="B84" s="32" t="s">
        <v>513</v>
      </c>
      <c r="E84" s="4">
        <v>5000</v>
      </c>
      <c r="F84" s="4">
        <v>8000</v>
      </c>
    </row>
    <row r="85" spans="1:6" ht="39" hidden="1">
      <c r="A85" s="31" t="s">
        <v>514</v>
      </c>
      <c r="B85" s="32" t="s">
        <v>515</v>
      </c>
      <c r="E85" s="4">
        <v>5000</v>
      </c>
      <c r="F85" s="4">
        <v>8000</v>
      </c>
    </row>
    <row r="86" spans="1:6" ht="39" hidden="1">
      <c r="A86" s="31" t="s">
        <v>516</v>
      </c>
      <c r="B86" s="32" t="s">
        <v>517</v>
      </c>
      <c r="C86" s="4"/>
      <c r="D86" s="4"/>
      <c r="E86" s="4">
        <v>5000</v>
      </c>
      <c r="F86" s="4">
        <v>8000</v>
      </c>
    </row>
    <row r="87" spans="1:6" ht="39.75" hidden="1" thickBot="1">
      <c r="A87" s="43" t="s">
        <v>518</v>
      </c>
      <c r="B87" s="44" t="s">
        <v>520</v>
      </c>
      <c r="E87" s="45">
        <v>500</v>
      </c>
      <c r="F87" s="45">
        <v>8000</v>
      </c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</sheetData>
  <sheetProtection/>
  <mergeCells count="6">
    <mergeCell ref="B6:C6"/>
    <mergeCell ref="B41:F41"/>
    <mergeCell ref="A45:F45"/>
    <mergeCell ref="A71:F71"/>
    <mergeCell ref="E42:F42"/>
    <mergeCell ref="E69:F69"/>
  </mergeCells>
  <printOptions/>
  <pageMargins left="1.77" right="0.51" top="0.48" bottom="0.64" header="0.38" footer="0.33"/>
  <pageSetup horizontalDpi="600" verticalDpi="600" orientation="portrait" paperSize="9" scale="65" r:id="rId1"/>
  <rowBreaks count="1" manualBreakCount="1">
    <brk id="68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1:W233"/>
  <sheetViews>
    <sheetView tabSelected="1" zoomScale="59" zoomScaleNormal="59" zoomScalePageLayoutView="0" workbookViewId="0" topLeftCell="A1">
      <selection activeCell="V6" sqref="V6"/>
    </sheetView>
  </sheetViews>
  <sheetFormatPr defaultColWidth="9.125" defaultRowHeight="12.75"/>
  <cols>
    <col min="1" max="1" width="0.875" style="56" customWidth="1"/>
    <col min="2" max="2" width="8.625" style="56" customWidth="1"/>
    <col min="3" max="3" width="8.625" style="285" customWidth="1"/>
    <col min="4" max="4" width="39.625" style="292" customWidth="1"/>
    <col min="5" max="5" width="60.875" style="49" customWidth="1"/>
    <col min="6" max="6" width="0.12890625" style="56" hidden="1" customWidth="1"/>
    <col min="7" max="7" width="13.50390625" style="56" hidden="1" customWidth="1"/>
    <col min="8" max="8" width="0.12890625" style="56" hidden="1" customWidth="1"/>
    <col min="9" max="9" width="6.50390625" style="56" hidden="1" customWidth="1"/>
    <col min="10" max="10" width="11.125" style="56" hidden="1" customWidth="1"/>
    <col min="11" max="11" width="22.25390625" style="56" customWidth="1"/>
    <col min="12" max="12" width="12.00390625" style="56" hidden="1" customWidth="1"/>
    <col min="13" max="13" width="7.375" style="56" hidden="1" customWidth="1"/>
    <col min="14" max="14" width="24.875" style="319" customWidth="1"/>
    <col min="15" max="15" width="0.37109375" style="331" customWidth="1"/>
    <col min="16" max="16384" width="9.125" style="56" customWidth="1"/>
  </cols>
  <sheetData>
    <row r="1" spans="3:15" s="49" customFormat="1" ht="92.25" customHeight="1">
      <c r="C1" s="285"/>
      <c r="D1" s="292"/>
      <c r="E1" s="46"/>
      <c r="F1" s="362"/>
      <c r="G1" s="362"/>
      <c r="H1" s="363"/>
      <c r="I1" s="362"/>
      <c r="J1" s="362"/>
      <c r="K1" s="352" t="s">
        <v>755</v>
      </c>
      <c r="L1" s="352"/>
      <c r="M1" s="353"/>
      <c r="N1" s="353"/>
      <c r="O1" s="330"/>
    </row>
    <row r="2" spans="3:15" s="49" customFormat="1" ht="15" hidden="1">
      <c r="C2" s="285"/>
      <c r="D2" s="292"/>
      <c r="E2" s="46"/>
      <c r="F2" s="260" t="s">
        <v>388</v>
      </c>
      <c r="G2" s="260"/>
      <c r="H2" s="260"/>
      <c r="I2" s="260"/>
      <c r="J2" s="260"/>
      <c r="K2" s="354"/>
      <c r="L2" s="354"/>
      <c r="M2" s="354"/>
      <c r="N2" s="354"/>
      <c r="O2" s="330"/>
    </row>
    <row r="3" spans="3:15" s="49" customFormat="1" ht="18">
      <c r="C3" s="285"/>
      <c r="D3" s="292" t="s">
        <v>388</v>
      </c>
      <c r="E3" s="46"/>
      <c r="N3" s="323"/>
      <c r="O3" s="330"/>
    </row>
    <row r="4" spans="3:15" s="49" customFormat="1" ht="18">
      <c r="C4" s="285"/>
      <c r="D4" s="292"/>
      <c r="E4" s="46"/>
      <c r="N4" s="323"/>
      <c r="O4" s="330"/>
    </row>
    <row r="5" spans="3:15" s="49" customFormat="1" ht="18">
      <c r="C5" s="285"/>
      <c r="D5" s="292"/>
      <c r="E5" s="46"/>
      <c r="N5" s="323"/>
      <c r="O5" s="330"/>
    </row>
    <row r="6" spans="3:15" s="49" customFormat="1" ht="39" customHeight="1">
      <c r="C6" s="355" t="s">
        <v>756</v>
      </c>
      <c r="D6" s="356"/>
      <c r="E6" s="356"/>
      <c r="F6" s="356"/>
      <c r="G6" s="356"/>
      <c r="H6" s="356"/>
      <c r="I6" s="356"/>
      <c r="J6" s="357"/>
      <c r="K6" s="357"/>
      <c r="N6" s="323"/>
      <c r="O6" s="330"/>
    </row>
    <row r="7" spans="3:15" s="49" customFormat="1" ht="18">
      <c r="C7" s="285"/>
      <c r="D7" s="292"/>
      <c r="K7" s="155"/>
      <c r="N7" s="324" t="s">
        <v>615</v>
      </c>
      <c r="O7" s="330"/>
    </row>
    <row r="8" spans="3:15" s="148" customFormat="1" ht="18">
      <c r="C8" s="358" t="s">
        <v>577</v>
      </c>
      <c r="D8" s="358" t="s">
        <v>562</v>
      </c>
      <c r="E8" s="358" t="s">
        <v>563</v>
      </c>
      <c r="F8" s="360" t="s">
        <v>616</v>
      </c>
      <c r="G8" s="361"/>
      <c r="H8" s="364" t="s">
        <v>617</v>
      </c>
      <c r="I8" s="365"/>
      <c r="J8" s="366"/>
      <c r="K8" s="367"/>
      <c r="N8" s="350" t="s">
        <v>84</v>
      </c>
      <c r="O8" s="334"/>
    </row>
    <row r="9" spans="3:15" s="148" customFormat="1" ht="76.5" customHeight="1">
      <c r="C9" s="359"/>
      <c r="D9" s="359"/>
      <c r="E9" s="359"/>
      <c r="F9" s="263" t="s">
        <v>564</v>
      </c>
      <c r="G9" s="263" t="s">
        <v>565</v>
      </c>
      <c r="H9" s="368"/>
      <c r="I9" s="369"/>
      <c r="J9" s="369"/>
      <c r="K9" s="370"/>
      <c r="N9" s="351"/>
      <c r="O9" s="334"/>
    </row>
    <row r="10" spans="3:15" ht="18" customHeight="1">
      <c r="C10" s="284" t="s">
        <v>612</v>
      </c>
      <c r="D10" s="293" t="s">
        <v>578</v>
      </c>
      <c r="E10" s="267" t="s">
        <v>453</v>
      </c>
      <c r="F10" s="268" t="e">
        <f>G10-черн!Z8</f>
        <v>#REF!</v>
      </c>
      <c r="G10" s="268" t="e">
        <f>G11+G25+G37+#REF!+G43+G49+G60+G66+G69+#REF!+G17</f>
        <v>#REF!</v>
      </c>
      <c r="K10" s="316">
        <f>K11+K17+K25+K37+K43+K49+K60+K66+K69+K40</f>
        <v>118795.79</v>
      </c>
      <c r="L10" s="315">
        <f>L11+L17+L25+L37+L43+L49+L60+L66+L69</f>
        <v>0</v>
      </c>
      <c r="M10" s="315">
        <f>M11+M17+M25+M37+M43+M49+M60+M66+M69</f>
        <v>0</v>
      </c>
      <c r="N10" s="328">
        <f aca="true" t="shared" si="0" ref="N10:N73">K10-O10</f>
        <v>4810.680000000008</v>
      </c>
      <c r="O10" s="335">
        <f>O11+O17+O25+O37+O43+O49+O60+O66+O69</f>
        <v>113985.10999999999</v>
      </c>
    </row>
    <row r="11" spans="3:15" ht="18">
      <c r="C11" s="284" t="s">
        <v>613</v>
      </c>
      <c r="D11" s="293" t="s">
        <v>579</v>
      </c>
      <c r="E11" s="269" t="s">
        <v>525</v>
      </c>
      <c r="F11" s="268" t="e">
        <f>G11-черн!Z10</f>
        <v>#REF!</v>
      </c>
      <c r="G11" s="268" t="e">
        <f>G12</f>
        <v>#REF!</v>
      </c>
      <c r="K11" s="316">
        <f>K12</f>
        <v>78334.7</v>
      </c>
      <c r="L11" s="315"/>
      <c r="M11" s="315"/>
      <c r="N11" s="328">
        <f t="shared" si="0"/>
        <v>1888.9100000000035</v>
      </c>
      <c r="O11" s="335">
        <f>O12</f>
        <v>76445.79</v>
      </c>
    </row>
    <row r="12" spans="3:15" ht="27" customHeight="1">
      <c r="C12" s="284" t="s">
        <v>613</v>
      </c>
      <c r="D12" s="294" t="s">
        <v>614</v>
      </c>
      <c r="E12" s="267" t="s">
        <v>527</v>
      </c>
      <c r="F12" s="268" t="e">
        <f>G12-черн!Z13</f>
        <v>#REF!</v>
      </c>
      <c r="G12" s="268" t="e">
        <f>G13+G14+G15+#REF!</f>
        <v>#REF!</v>
      </c>
      <c r="K12" s="316">
        <f>K13+K14+K15+K16</f>
        <v>78334.7</v>
      </c>
      <c r="L12" s="315"/>
      <c r="M12" s="315"/>
      <c r="N12" s="328">
        <f t="shared" si="0"/>
        <v>1888.9100000000035</v>
      </c>
      <c r="O12" s="335">
        <f>O13+O14+O15+O16</f>
        <v>76445.79</v>
      </c>
    </row>
    <row r="13" spans="3:15" ht="183.75" customHeight="1">
      <c r="C13" s="284" t="s">
        <v>613</v>
      </c>
      <c r="D13" s="294" t="s">
        <v>580</v>
      </c>
      <c r="E13" s="270" t="s">
        <v>753</v>
      </c>
      <c r="F13" s="268" t="e">
        <f>G13-черн!Z14</f>
        <v>#REF!</v>
      </c>
      <c r="G13" s="271" t="e">
        <f>43625-G14-G15-#REF!</f>
        <v>#REF!</v>
      </c>
      <c r="K13" s="316">
        <v>76570.7</v>
      </c>
      <c r="L13" s="315"/>
      <c r="M13" s="315"/>
      <c r="N13" s="329">
        <f t="shared" si="0"/>
        <v>984.1600000000035</v>
      </c>
      <c r="O13" s="335">
        <v>75586.54</v>
      </c>
    </row>
    <row r="14" spans="3:15" ht="162">
      <c r="C14" s="284" t="s">
        <v>613</v>
      </c>
      <c r="D14" s="294" t="s">
        <v>581</v>
      </c>
      <c r="E14" s="272" t="s">
        <v>501</v>
      </c>
      <c r="F14" s="268">
        <f>G14-черн!Z15</f>
        <v>-70</v>
      </c>
      <c r="G14" s="271">
        <v>60</v>
      </c>
      <c r="K14" s="316">
        <v>620</v>
      </c>
      <c r="L14" s="315"/>
      <c r="M14" s="315"/>
      <c r="N14" s="329">
        <f t="shared" si="0"/>
        <v>597.05</v>
      </c>
      <c r="O14" s="335">
        <v>22.95</v>
      </c>
    </row>
    <row r="15" spans="3:15" ht="72">
      <c r="C15" s="284" t="s">
        <v>613</v>
      </c>
      <c r="D15" s="295" t="s">
        <v>582</v>
      </c>
      <c r="E15" s="273" t="s">
        <v>502</v>
      </c>
      <c r="F15" s="268">
        <f>G15-черн!Z16</f>
        <v>0</v>
      </c>
      <c r="G15" s="271">
        <v>110</v>
      </c>
      <c r="K15" s="316">
        <v>1140</v>
      </c>
      <c r="L15" s="315"/>
      <c r="M15" s="315"/>
      <c r="N15" s="329">
        <f t="shared" si="0"/>
        <v>310</v>
      </c>
      <c r="O15" s="335">
        <v>830</v>
      </c>
    </row>
    <row r="16" spans="3:15" ht="126">
      <c r="C16" s="284" t="s">
        <v>613</v>
      </c>
      <c r="D16" s="295" t="s">
        <v>732</v>
      </c>
      <c r="E16" s="308" t="s">
        <v>731</v>
      </c>
      <c r="F16" s="268"/>
      <c r="G16" s="271"/>
      <c r="K16" s="316">
        <v>4</v>
      </c>
      <c r="L16" s="315"/>
      <c r="M16" s="315"/>
      <c r="N16" s="329">
        <f t="shared" si="0"/>
        <v>-2.3</v>
      </c>
      <c r="O16" s="335">
        <v>6.3</v>
      </c>
    </row>
    <row r="17" spans="3:15" s="266" customFormat="1" ht="51.75">
      <c r="C17" s="286" t="s">
        <v>613</v>
      </c>
      <c r="D17" s="263" t="s">
        <v>576</v>
      </c>
      <c r="E17" s="269" t="s">
        <v>575</v>
      </c>
      <c r="F17" s="274" t="e">
        <f>G17</f>
        <v>#REF!</v>
      </c>
      <c r="G17" s="274" t="e">
        <f>G18</f>
        <v>#REF!</v>
      </c>
      <c r="K17" s="316">
        <f>K18</f>
        <v>11422.3</v>
      </c>
      <c r="L17" s="315"/>
      <c r="M17" s="315"/>
      <c r="N17" s="329">
        <f t="shared" si="0"/>
        <v>1395.239999999998</v>
      </c>
      <c r="O17" s="335">
        <f>O18</f>
        <v>10027.060000000001</v>
      </c>
    </row>
    <row r="18" spans="3:15" ht="54">
      <c r="C18" s="288" t="s">
        <v>613</v>
      </c>
      <c r="D18" s="296" t="s">
        <v>573</v>
      </c>
      <c r="E18" s="267" t="s">
        <v>574</v>
      </c>
      <c r="F18" s="274" t="e">
        <f>G18</f>
        <v>#REF!</v>
      </c>
      <c r="G18" s="271" t="e">
        <f>G19+G21+G23+#REF!</f>
        <v>#REF!</v>
      </c>
      <c r="K18" s="316">
        <f>K19+K21+K23</f>
        <v>11422.3</v>
      </c>
      <c r="L18" s="315"/>
      <c r="M18" s="315"/>
      <c r="N18" s="329">
        <f t="shared" si="0"/>
        <v>1395.239999999998</v>
      </c>
      <c r="O18" s="335">
        <f>O19+O21+O23</f>
        <v>10027.060000000001</v>
      </c>
    </row>
    <row r="19" spans="3:23" ht="127.5" customHeight="1">
      <c r="C19" s="284" t="s">
        <v>613</v>
      </c>
      <c r="D19" s="275" t="s">
        <v>567</v>
      </c>
      <c r="E19" s="267" t="s">
        <v>720</v>
      </c>
      <c r="F19" s="274">
        <f>G19</f>
        <v>1306</v>
      </c>
      <c r="G19" s="271">
        <v>1306</v>
      </c>
      <c r="K19" s="316">
        <v>5646.15</v>
      </c>
      <c r="L19" s="315"/>
      <c r="M19" s="315"/>
      <c r="N19" s="329">
        <f t="shared" si="0"/>
        <v>1172.0899999999992</v>
      </c>
      <c r="O19" s="335">
        <v>4474.06</v>
      </c>
      <c r="P19" s="66"/>
      <c r="Q19" s="66"/>
      <c r="R19" s="66"/>
      <c r="S19" s="66"/>
      <c r="T19" s="66"/>
      <c r="U19" s="66"/>
      <c r="V19" s="66"/>
      <c r="W19" s="66"/>
    </row>
    <row r="20" spans="3:23" ht="168" customHeight="1">
      <c r="C20" s="284" t="s">
        <v>613</v>
      </c>
      <c r="D20" s="275" t="s">
        <v>737</v>
      </c>
      <c r="E20" s="272" t="s">
        <v>736</v>
      </c>
      <c r="F20" s="274"/>
      <c r="G20" s="271"/>
      <c r="K20" s="316">
        <v>5646.15</v>
      </c>
      <c r="L20" s="315"/>
      <c r="M20" s="315"/>
      <c r="N20" s="329">
        <f t="shared" si="0"/>
        <v>1172.0899999999992</v>
      </c>
      <c r="O20" s="335">
        <v>4474.06</v>
      </c>
      <c r="P20" s="66"/>
      <c r="Q20" s="309"/>
      <c r="R20" s="310"/>
      <c r="S20" s="66"/>
      <c r="T20" s="311"/>
      <c r="U20" s="66"/>
      <c r="V20" s="66"/>
      <c r="W20" s="66"/>
    </row>
    <row r="21" spans="3:23" ht="126">
      <c r="C21" s="284" t="s">
        <v>613</v>
      </c>
      <c r="D21" s="275" t="s">
        <v>569</v>
      </c>
      <c r="E21" s="267" t="s">
        <v>721</v>
      </c>
      <c r="F21" s="274">
        <f>G21</f>
        <v>53.8</v>
      </c>
      <c r="G21" s="271">
        <v>53.8</v>
      </c>
      <c r="K21" s="316">
        <v>65</v>
      </c>
      <c r="L21" s="315"/>
      <c r="M21" s="315"/>
      <c r="N21" s="329">
        <f t="shared" si="0"/>
        <v>34</v>
      </c>
      <c r="O21" s="335">
        <v>31</v>
      </c>
      <c r="P21" s="66"/>
      <c r="Q21" s="66"/>
      <c r="R21" s="66"/>
      <c r="S21" s="66"/>
      <c r="T21" s="66"/>
      <c r="U21" s="66"/>
      <c r="V21" s="66"/>
      <c r="W21" s="66"/>
    </row>
    <row r="22" spans="3:23" ht="180">
      <c r="C22" s="284" t="s">
        <v>613</v>
      </c>
      <c r="D22" s="275" t="s">
        <v>735</v>
      </c>
      <c r="E22" s="267" t="s">
        <v>734</v>
      </c>
      <c r="F22" s="274"/>
      <c r="G22" s="271"/>
      <c r="K22" s="316">
        <v>65</v>
      </c>
      <c r="L22" s="315"/>
      <c r="M22" s="315"/>
      <c r="N22" s="329">
        <f t="shared" si="0"/>
        <v>34</v>
      </c>
      <c r="O22" s="335">
        <v>31</v>
      </c>
      <c r="P22" s="66"/>
      <c r="Q22" s="66"/>
      <c r="R22" s="66"/>
      <c r="S22" s="66"/>
      <c r="T22" s="66"/>
      <c r="U22" s="66"/>
      <c r="V22" s="66"/>
      <c r="W22" s="66"/>
    </row>
    <row r="23" spans="3:15" ht="108">
      <c r="C23" s="284" t="s">
        <v>613</v>
      </c>
      <c r="D23" s="275" t="s">
        <v>571</v>
      </c>
      <c r="E23" s="267" t="s">
        <v>722</v>
      </c>
      <c r="F23" s="274">
        <f>G23</f>
        <v>2062</v>
      </c>
      <c r="G23" s="271">
        <v>2062</v>
      </c>
      <c r="K23" s="316">
        <v>5711.15</v>
      </c>
      <c r="L23" s="315"/>
      <c r="M23" s="315"/>
      <c r="N23" s="329">
        <f t="shared" si="0"/>
        <v>189.14999999999964</v>
      </c>
      <c r="O23" s="335">
        <v>5522</v>
      </c>
    </row>
    <row r="24" spans="3:15" ht="162">
      <c r="C24" s="284" t="s">
        <v>613</v>
      </c>
      <c r="D24" s="275" t="s">
        <v>750</v>
      </c>
      <c r="E24" s="272" t="s">
        <v>733</v>
      </c>
      <c r="F24" s="274"/>
      <c r="G24" s="271"/>
      <c r="K24" s="316">
        <v>5711.15</v>
      </c>
      <c r="L24" s="315"/>
      <c r="M24" s="315"/>
      <c r="N24" s="329">
        <f t="shared" si="0"/>
        <v>189.14999999999964</v>
      </c>
      <c r="O24" s="335">
        <v>5522</v>
      </c>
    </row>
    <row r="25" spans="3:15" ht="18">
      <c r="C25" s="284" t="s">
        <v>613</v>
      </c>
      <c r="D25" s="293" t="s">
        <v>583</v>
      </c>
      <c r="E25" s="269" t="s">
        <v>528</v>
      </c>
      <c r="F25" s="271" t="e">
        <f>G25-черн!Z19</f>
        <v>#REF!</v>
      </c>
      <c r="G25" s="271" t="e">
        <f>G26+G31+G33</f>
        <v>#REF!</v>
      </c>
      <c r="K25" s="316">
        <f>K26+K33+K35</f>
        <v>15294.899999999998</v>
      </c>
      <c r="L25" s="315"/>
      <c r="M25" s="315"/>
      <c r="N25" s="329">
        <f t="shared" si="0"/>
        <v>2173.4199999999983</v>
      </c>
      <c r="O25" s="335">
        <f>O26+O33+O35</f>
        <v>13121.48</v>
      </c>
    </row>
    <row r="26" spans="3:15" ht="35.25">
      <c r="C26" s="284" t="s">
        <v>613</v>
      </c>
      <c r="D26" s="293" t="s">
        <v>584</v>
      </c>
      <c r="E26" s="269" t="s">
        <v>529</v>
      </c>
      <c r="F26" s="271" t="e">
        <f>G26-черн!Z20</f>
        <v>#REF!</v>
      </c>
      <c r="G26" s="271" t="e">
        <f>G27+G29+#REF!</f>
        <v>#REF!</v>
      </c>
      <c r="K26" s="316">
        <f>K27+K29</f>
        <v>13172.599999999999</v>
      </c>
      <c r="L26" s="315"/>
      <c r="M26" s="315"/>
      <c r="N26" s="329">
        <f t="shared" si="0"/>
        <v>2182.699999999999</v>
      </c>
      <c r="O26" s="335">
        <f>O27+O29</f>
        <v>10989.9</v>
      </c>
    </row>
    <row r="27" spans="3:15" ht="54">
      <c r="C27" s="284" t="s">
        <v>613</v>
      </c>
      <c r="D27" s="294" t="s">
        <v>585</v>
      </c>
      <c r="E27" s="267" t="s">
        <v>530</v>
      </c>
      <c r="F27" s="271" t="e">
        <f>G27-черн!Z21</f>
        <v>#REF!</v>
      </c>
      <c r="G27" s="271">
        <v>850</v>
      </c>
      <c r="K27" s="316">
        <f>K28</f>
        <v>9352.55</v>
      </c>
      <c r="L27" s="315"/>
      <c r="M27" s="315"/>
      <c r="N27" s="329">
        <f t="shared" si="0"/>
        <v>1782.5499999999993</v>
      </c>
      <c r="O27" s="335">
        <f>O28</f>
        <v>7570</v>
      </c>
    </row>
    <row r="28" spans="3:15" ht="67.5" customHeight="1">
      <c r="C28" s="284" t="s">
        <v>613</v>
      </c>
      <c r="D28" s="297" t="s">
        <v>586</v>
      </c>
      <c r="E28" s="267" t="s">
        <v>86</v>
      </c>
      <c r="F28" s="271" t="e">
        <f>G28-черн!Z22</f>
        <v>#REF!</v>
      </c>
      <c r="G28" s="271">
        <v>850</v>
      </c>
      <c r="K28" s="316">
        <v>9352.55</v>
      </c>
      <c r="L28" s="315"/>
      <c r="M28" s="315"/>
      <c r="N28" s="329">
        <f t="shared" si="0"/>
        <v>1782.5499999999993</v>
      </c>
      <c r="O28" s="335">
        <v>7570</v>
      </c>
    </row>
    <row r="29" spans="3:15" ht="54">
      <c r="C29" s="286" t="s">
        <v>613</v>
      </c>
      <c r="D29" s="294" t="s">
        <v>587</v>
      </c>
      <c r="E29" s="267" t="s">
        <v>0</v>
      </c>
      <c r="F29" s="271" t="e">
        <f>G29-черн!Z24</f>
        <v>#REF!</v>
      </c>
      <c r="G29" s="271">
        <v>1660</v>
      </c>
      <c r="K29" s="316">
        <f>K30</f>
        <v>3820.05</v>
      </c>
      <c r="L29" s="315"/>
      <c r="M29" s="315"/>
      <c r="N29" s="329">
        <f t="shared" si="0"/>
        <v>400.1500000000001</v>
      </c>
      <c r="O29" s="335">
        <f>O30</f>
        <v>3419.9</v>
      </c>
    </row>
    <row r="30" spans="3:15" ht="99" customHeight="1">
      <c r="C30" s="288" t="s">
        <v>613</v>
      </c>
      <c r="D30" s="296" t="s">
        <v>588</v>
      </c>
      <c r="E30" s="276" t="s">
        <v>723</v>
      </c>
      <c r="F30" s="271" t="e">
        <f>G30-черн!Z25</f>
        <v>#REF!</v>
      </c>
      <c r="G30" s="271">
        <v>1650</v>
      </c>
      <c r="K30" s="316">
        <v>3820.05</v>
      </c>
      <c r="L30" s="315"/>
      <c r="M30" s="315"/>
      <c r="N30" s="329">
        <f t="shared" si="0"/>
        <v>400.1500000000001</v>
      </c>
      <c r="O30" s="335">
        <v>3419.9</v>
      </c>
    </row>
    <row r="31" spans="3:15" ht="0" customHeight="1" hidden="1">
      <c r="C31" s="288"/>
      <c r="D31" s="293"/>
      <c r="E31" s="269"/>
      <c r="F31" s="271"/>
      <c r="G31" s="274"/>
      <c r="K31" s="316"/>
      <c r="L31" s="315"/>
      <c r="M31" s="315"/>
      <c r="N31" s="329">
        <f t="shared" si="0"/>
        <v>0</v>
      </c>
      <c r="O31" s="335"/>
    </row>
    <row r="32" spans="3:15" ht="18" hidden="1">
      <c r="C32" s="288"/>
      <c r="D32" s="294"/>
      <c r="E32" s="267"/>
      <c r="F32" s="271"/>
      <c r="G32" s="271"/>
      <c r="K32" s="316"/>
      <c r="L32" s="315"/>
      <c r="M32" s="315"/>
      <c r="N32" s="329">
        <f t="shared" si="0"/>
        <v>0</v>
      </c>
      <c r="O32" s="335"/>
    </row>
    <row r="33" spans="3:15" ht="24.75" customHeight="1">
      <c r="C33" s="284" t="s">
        <v>613</v>
      </c>
      <c r="D33" s="293" t="s">
        <v>589</v>
      </c>
      <c r="E33" s="269" t="s">
        <v>2</v>
      </c>
      <c r="F33" s="271">
        <f>G33-черн!Z31</f>
        <v>92</v>
      </c>
      <c r="G33" s="274">
        <f>G34+G36</f>
        <v>106</v>
      </c>
      <c r="K33" s="316">
        <v>0.5</v>
      </c>
      <c r="L33" s="315"/>
      <c r="M33" s="315"/>
      <c r="N33" s="329">
        <f t="shared" si="0"/>
        <v>-0.6299999999999999</v>
      </c>
      <c r="O33" s="335">
        <v>1.13</v>
      </c>
    </row>
    <row r="34" spans="3:15" ht="18">
      <c r="C34" s="284" t="s">
        <v>613</v>
      </c>
      <c r="D34" s="297" t="s">
        <v>590</v>
      </c>
      <c r="E34" s="276" t="s">
        <v>2</v>
      </c>
      <c r="F34" s="271">
        <f>G34-черн!Z32</f>
        <v>92</v>
      </c>
      <c r="G34" s="271">
        <v>106</v>
      </c>
      <c r="K34" s="316">
        <v>0.5</v>
      </c>
      <c r="L34" s="315"/>
      <c r="M34" s="315"/>
      <c r="N34" s="329">
        <f t="shared" si="0"/>
        <v>-0.6299999999999999</v>
      </c>
      <c r="O34" s="335">
        <v>1.13</v>
      </c>
    </row>
    <row r="35" spans="3:15" ht="34.5">
      <c r="C35" s="284" t="s">
        <v>613</v>
      </c>
      <c r="D35" s="291" t="s">
        <v>622</v>
      </c>
      <c r="E35" s="290" t="s">
        <v>620</v>
      </c>
      <c r="F35" s="271"/>
      <c r="G35" s="271"/>
      <c r="K35" s="316">
        <v>2121.8</v>
      </c>
      <c r="L35" s="315"/>
      <c r="M35" s="315"/>
      <c r="N35" s="329">
        <f t="shared" si="0"/>
        <v>-8.649999999999636</v>
      </c>
      <c r="O35" s="335">
        <v>2130.45</v>
      </c>
    </row>
    <row r="36" spans="3:15" ht="54">
      <c r="C36" s="284" t="s">
        <v>613</v>
      </c>
      <c r="D36" s="297" t="s">
        <v>623</v>
      </c>
      <c r="E36" s="276" t="s">
        <v>621</v>
      </c>
      <c r="F36" s="271">
        <f>G36-черн!Z33</f>
        <v>0</v>
      </c>
      <c r="G36" s="271"/>
      <c r="K36" s="316">
        <v>2121.8</v>
      </c>
      <c r="L36" s="315"/>
      <c r="M36" s="315"/>
      <c r="N36" s="329">
        <f t="shared" si="0"/>
        <v>-8.649999999999636</v>
      </c>
      <c r="O36" s="335">
        <v>2130.45</v>
      </c>
    </row>
    <row r="37" spans="3:15" ht="18">
      <c r="C37" s="284" t="s">
        <v>613</v>
      </c>
      <c r="D37" s="293" t="s">
        <v>591</v>
      </c>
      <c r="E37" s="269" t="s">
        <v>3</v>
      </c>
      <c r="F37" s="271">
        <f>G37-черн!Z34</f>
        <v>0</v>
      </c>
      <c r="G37" s="274">
        <v>2282.2</v>
      </c>
      <c r="K37" s="316">
        <v>7875.42</v>
      </c>
      <c r="L37" s="315"/>
      <c r="M37" s="315"/>
      <c r="N37" s="329">
        <f t="shared" si="0"/>
        <v>-1477.33</v>
      </c>
      <c r="O37" s="335">
        <v>9352.75</v>
      </c>
    </row>
    <row r="38" spans="3:15" ht="18">
      <c r="C38" s="284" t="s">
        <v>613</v>
      </c>
      <c r="D38" s="293" t="s">
        <v>592</v>
      </c>
      <c r="E38" s="269" t="s">
        <v>4</v>
      </c>
      <c r="F38" s="271">
        <f>G38-черн!Z35</f>
        <v>0</v>
      </c>
      <c r="G38" s="274">
        <v>2282.2</v>
      </c>
      <c r="K38" s="316">
        <v>7875.42</v>
      </c>
      <c r="L38" s="315"/>
      <c r="M38" s="315"/>
      <c r="N38" s="329">
        <f t="shared" si="0"/>
        <v>-1477.33</v>
      </c>
      <c r="O38" s="335">
        <v>9352.75</v>
      </c>
    </row>
    <row r="39" spans="3:15" ht="36">
      <c r="C39" s="284" t="s">
        <v>613</v>
      </c>
      <c r="D39" s="294" t="s">
        <v>593</v>
      </c>
      <c r="E39" s="267" t="s">
        <v>5</v>
      </c>
      <c r="F39" s="271">
        <f>G39-черн!Z36</f>
        <v>0</v>
      </c>
      <c r="G39" s="271">
        <v>2282.2</v>
      </c>
      <c r="K39" s="316">
        <v>7875.42</v>
      </c>
      <c r="L39" s="315"/>
      <c r="M39" s="315"/>
      <c r="N39" s="329">
        <f t="shared" si="0"/>
        <v>-1477.33</v>
      </c>
      <c r="O39" s="335">
        <v>9352.75</v>
      </c>
    </row>
    <row r="40" spans="3:15" ht="18" customHeight="1">
      <c r="C40" s="284" t="s">
        <v>613</v>
      </c>
      <c r="D40" s="293" t="s">
        <v>757</v>
      </c>
      <c r="E40" s="267" t="s">
        <v>6</v>
      </c>
      <c r="F40" s="271"/>
      <c r="G40" s="271"/>
      <c r="K40" s="316">
        <v>3.2</v>
      </c>
      <c r="L40" s="315"/>
      <c r="M40" s="315"/>
      <c r="N40" s="329">
        <f t="shared" si="0"/>
        <v>3.2</v>
      </c>
      <c r="O40" s="335">
        <v>0</v>
      </c>
    </row>
    <row r="41" spans="3:15" ht="18">
      <c r="C41" s="284" t="s">
        <v>613</v>
      </c>
      <c r="D41" s="293" t="s">
        <v>758</v>
      </c>
      <c r="E41" s="267" t="s">
        <v>371</v>
      </c>
      <c r="F41" s="271"/>
      <c r="G41" s="271"/>
      <c r="K41" s="316">
        <v>3.2</v>
      </c>
      <c r="L41" s="315"/>
      <c r="M41" s="315"/>
      <c r="N41" s="329">
        <f t="shared" si="0"/>
        <v>3.2</v>
      </c>
      <c r="O41" s="335">
        <v>0</v>
      </c>
    </row>
    <row r="42" spans="3:15" ht="39.75" customHeight="1">
      <c r="C42" s="284" t="s">
        <v>613</v>
      </c>
      <c r="D42" s="294" t="s">
        <v>759</v>
      </c>
      <c r="E42" s="267" t="s">
        <v>376</v>
      </c>
      <c r="F42" s="271"/>
      <c r="G42" s="271"/>
      <c r="K42" s="316">
        <v>3.2</v>
      </c>
      <c r="L42" s="315"/>
      <c r="M42" s="315"/>
      <c r="N42" s="329">
        <f t="shared" si="0"/>
        <v>3.2</v>
      </c>
      <c r="O42" s="335">
        <v>0</v>
      </c>
    </row>
    <row r="43" spans="3:15" ht="18">
      <c r="C43" s="284" t="s">
        <v>612</v>
      </c>
      <c r="D43" s="293" t="s">
        <v>594</v>
      </c>
      <c r="E43" s="269" t="s">
        <v>377</v>
      </c>
      <c r="F43" s="271" t="e">
        <f>G43-черн!Z43</f>
        <v>#REF!</v>
      </c>
      <c r="G43" s="271" t="e">
        <f>G44+G46</f>
        <v>#REF!</v>
      </c>
      <c r="K43" s="316">
        <f>K44+K46</f>
        <v>2606.86</v>
      </c>
      <c r="L43" s="315"/>
      <c r="M43" s="315"/>
      <c r="N43" s="329">
        <f t="shared" si="0"/>
        <v>512.8200000000002</v>
      </c>
      <c r="O43" s="335">
        <f>O44+O46</f>
        <v>2094.04</v>
      </c>
    </row>
    <row r="44" spans="3:15" ht="54">
      <c r="C44" s="284" t="s">
        <v>613</v>
      </c>
      <c r="D44" s="294" t="s">
        <v>595</v>
      </c>
      <c r="E44" s="267" t="s">
        <v>378</v>
      </c>
      <c r="F44" s="271" t="e">
        <f>G44-черн!Z44</f>
        <v>#REF!</v>
      </c>
      <c r="G44" s="271">
        <v>1540</v>
      </c>
      <c r="K44" s="316">
        <v>2606.86</v>
      </c>
      <c r="L44" s="315"/>
      <c r="M44" s="315"/>
      <c r="N44" s="329">
        <f t="shared" si="0"/>
        <v>581.3200000000002</v>
      </c>
      <c r="O44" s="335">
        <v>2025.54</v>
      </c>
    </row>
    <row r="45" spans="3:15" ht="72">
      <c r="C45" s="284" t="s">
        <v>613</v>
      </c>
      <c r="D45" s="294" t="s">
        <v>596</v>
      </c>
      <c r="E45" s="267" t="s">
        <v>379</v>
      </c>
      <c r="F45" s="271" t="e">
        <f>G45-черн!Z45</f>
        <v>#REF!</v>
      </c>
      <c r="G45" s="271">
        <v>1540</v>
      </c>
      <c r="K45" s="316">
        <v>2606.86</v>
      </c>
      <c r="L45" s="315"/>
      <c r="M45" s="315"/>
      <c r="N45" s="329">
        <f t="shared" si="0"/>
        <v>581.3200000000002</v>
      </c>
      <c r="O45" s="335">
        <v>2025.54</v>
      </c>
    </row>
    <row r="46" spans="3:15" ht="54">
      <c r="C46" s="284" t="s">
        <v>566</v>
      </c>
      <c r="D46" s="294" t="s">
        <v>597</v>
      </c>
      <c r="E46" s="267" t="s">
        <v>380</v>
      </c>
      <c r="F46" s="271" t="e">
        <f>G46-черн!Z46</f>
        <v>#REF!</v>
      </c>
      <c r="G46" s="271" t="e">
        <f>G47+#REF!</f>
        <v>#REF!</v>
      </c>
      <c r="K46" s="316">
        <v>0</v>
      </c>
      <c r="L46" s="315"/>
      <c r="M46" s="315"/>
      <c r="N46" s="329">
        <f t="shared" si="0"/>
        <v>-68.5</v>
      </c>
      <c r="O46" s="335">
        <v>68.5</v>
      </c>
    </row>
    <row r="47" spans="3:15" ht="90">
      <c r="C47" s="284" t="s">
        <v>566</v>
      </c>
      <c r="D47" s="298" t="s">
        <v>598</v>
      </c>
      <c r="E47" s="267" t="s">
        <v>109</v>
      </c>
      <c r="F47" s="271" t="e">
        <f>G47-черн!Z47</f>
        <v>#REF!</v>
      </c>
      <c r="G47" s="271">
        <f>G48</f>
        <v>230</v>
      </c>
      <c r="K47" s="316">
        <v>0</v>
      </c>
      <c r="L47" s="315"/>
      <c r="M47" s="315"/>
      <c r="N47" s="329">
        <f t="shared" si="0"/>
        <v>-68.5</v>
      </c>
      <c r="O47" s="335">
        <v>68.5</v>
      </c>
    </row>
    <row r="48" spans="3:15" ht="108">
      <c r="C48" s="284" t="s">
        <v>566</v>
      </c>
      <c r="D48" s="298" t="s">
        <v>599</v>
      </c>
      <c r="E48" s="267" t="s">
        <v>108</v>
      </c>
      <c r="F48" s="271" t="e">
        <f>G48-черн!Z48</f>
        <v>#REF!</v>
      </c>
      <c r="G48" s="271">
        <v>230</v>
      </c>
      <c r="K48" s="316">
        <v>0</v>
      </c>
      <c r="L48" s="315"/>
      <c r="M48" s="315"/>
      <c r="N48" s="329">
        <f t="shared" si="0"/>
        <v>-68.5</v>
      </c>
      <c r="O48" s="335">
        <v>68.5</v>
      </c>
    </row>
    <row r="49" spans="3:15" ht="69.75">
      <c r="C49" s="284" t="s">
        <v>566</v>
      </c>
      <c r="D49" s="293" t="s">
        <v>600</v>
      </c>
      <c r="E49" s="269" t="s">
        <v>382</v>
      </c>
      <c r="F49" s="271" t="e">
        <f>G49-черн!Z58</f>
        <v>#REF!</v>
      </c>
      <c r="G49" s="271">
        <f>G50</f>
        <v>1533</v>
      </c>
      <c r="K49" s="316">
        <f>K50+K55</f>
        <v>1577.76</v>
      </c>
      <c r="L49" s="315"/>
      <c r="M49" s="315"/>
      <c r="N49" s="329">
        <f t="shared" si="0"/>
        <v>135.95000000000005</v>
      </c>
      <c r="O49" s="335">
        <f>O50</f>
        <v>1441.81</v>
      </c>
    </row>
    <row r="50" spans="3:15" ht="122.25">
      <c r="C50" s="284" t="s">
        <v>566</v>
      </c>
      <c r="D50" s="293" t="s">
        <v>601</v>
      </c>
      <c r="E50" s="269" t="s">
        <v>96</v>
      </c>
      <c r="F50" s="271" t="e">
        <f>G50-черн!Z59</f>
        <v>#REF!</v>
      </c>
      <c r="G50" s="271">
        <f>G51+G53</f>
        <v>1533</v>
      </c>
      <c r="H50" s="56" t="s">
        <v>388</v>
      </c>
      <c r="K50" s="316">
        <f>K51+K53</f>
        <v>1487.76</v>
      </c>
      <c r="L50" s="316">
        <f>L51+L53</f>
        <v>0</v>
      </c>
      <c r="M50" s="316">
        <f>M51+M53</f>
        <v>0</v>
      </c>
      <c r="N50" s="329">
        <f t="shared" si="0"/>
        <v>45.950000000000045</v>
      </c>
      <c r="O50" s="335">
        <f>O51+O53</f>
        <v>1441.81</v>
      </c>
    </row>
    <row r="51" spans="3:15" ht="105">
      <c r="C51" s="284" t="s">
        <v>566</v>
      </c>
      <c r="D51" s="293" t="s">
        <v>602</v>
      </c>
      <c r="E51" s="269" t="s">
        <v>383</v>
      </c>
      <c r="F51" s="271" t="e">
        <f>G51-черн!Z60</f>
        <v>#REF!</v>
      </c>
      <c r="G51" s="271">
        <v>1378</v>
      </c>
      <c r="K51" s="316">
        <f>K52</f>
        <v>1447.78</v>
      </c>
      <c r="L51" s="315"/>
      <c r="M51" s="315"/>
      <c r="N51" s="329">
        <f t="shared" si="0"/>
        <v>45.950000000000045</v>
      </c>
      <c r="O51" s="335">
        <v>1401.83</v>
      </c>
    </row>
    <row r="52" spans="3:15" ht="138.75" customHeight="1">
      <c r="C52" s="284" t="s">
        <v>566</v>
      </c>
      <c r="D52" s="152" t="s">
        <v>644</v>
      </c>
      <c r="E52" s="267" t="s">
        <v>724</v>
      </c>
      <c r="F52" s="271" t="e">
        <f>G52-черн!Z61</f>
        <v>#REF!</v>
      </c>
      <c r="G52" s="271">
        <v>1378</v>
      </c>
      <c r="K52" s="316">
        <v>1447.78</v>
      </c>
      <c r="L52" s="315"/>
      <c r="M52" s="315"/>
      <c r="N52" s="329">
        <f t="shared" si="0"/>
        <v>45.950000000000045</v>
      </c>
      <c r="O52" s="335">
        <v>1401.83</v>
      </c>
    </row>
    <row r="53" spans="3:15" ht="130.5" customHeight="1">
      <c r="C53" s="284" t="s">
        <v>566</v>
      </c>
      <c r="D53" s="293" t="s">
        <v>604</v>
      </c>
      <c r="E53" s="269" t="s">
        <v>97</v>
      </c>
      <c r="F53" s="271" t="e">
        <f>G53-черн!Z64</f>
        <v>#REF!</v>
      </c>
      <c r="G53" s="271">
        <v>155</v>
      </c>
      <c r="K53" s="316">
        <v>39.98</v>
      </c>
      <c r="L53" s="315"/>
      <c r="M53" s="315"/>
      <c r="N53" s="329">
        <f t="shared" si="0"/>
        <v>0</v>
      </c>
      <c r="O53" s="335">
        <v>39.98</v>
      </c>
    </row>
    <row r="54" spans="3:15" ht="135.75" customHeight="1">
      <c r="C54" s="284" t="s">
        <v>566</v>
      </c>
      <c r="D54" s="294" t="s">
        <v>603</v>
      </c>
      <c r="E54" s="267" t="s">
        <v>98</v>
      </c>
      <c r="F54" s="271" t="e">
        <f>G54-черн!Z65</f>
        <v>#REF!</v>
      </c>
      <c r="G54" s="271">
        <v>155</v>
      </c>
      <c r="K54" s="316">
        <v>39.98</v>
      </c>
      <c r="L54" s="315"/>
      <c r="M54" s="315"/>
      <c r="N54" s="329">
        <f t="shared" si="0"/>
        <v>0</v>
      </c>
      <c r="O54" s="335">
        <v>39.98</v>
      </c>
    </row>
    <row r="55" spans="3:15" ht="130.5" customHeight="1">
      <c r="C55" s="284" t="s">
        <v>566</v>
      </c>
      <c r="D55" s="293" t="s">
        <v>765</v>
      </c>
      <c r="E55" s="326" t="s">
        <v>760</v>
      </c>
      <c r="F55" s="271"/>
      <c r="G55" s="271"/>
      <c r="K55" s="327">
        <f>K56+K58</f>
        <v>90</v>
      </c>
      <c r="L55" s="327">
        <f>L56+L58</f>
        <v>0</v>
      </c>
      <c r="M55" s="327">
        <f>M56+M58</f>
        <v>0</v>
      </c>
      <c r="N55" s="329">
        <f t="shared" si="0"/>
        <v>90</v>
      </c>
      <c r="O55" s="335">
        <f>O56+O58</f>
        <v>0</v>
      </c>
    </row>
    <row r="56" spans="3:15" ht="135.75" customHeight="1">
      <c r="C56" s="284" t="s">
        <v>566</v>
      </c>
      <c r="D56" s="294" t="s">
        <v>766</v>
      </c>
      <c r="E56" s="272" t="s">
        <v>761</v>
      </c>
      <c r="F56" s="271"/>
      <c r="G56" s="271"/>
      <c r="K56" s="316">
        <v>4</v>
      </c>
      <c r="L56" s="325"/>
      <c r="M56" s="325"/>
      <c r="N56" s="329">
        <f t="shared" si="0"/>
        <v>4</v>
      </c>
      <c r="O56" s="336">
        <v>0</v>
      </c>
    </row>
    <row r="57" spans="3:15" ht="135.75" customHeight="1">
      <c r="C57" s="284" t="s">
        <v>566</v>
      </c>
      <c r="D57" s="294" t="s">
        <v>767</v>
      </c>
      <c r="E57" s="267" t="s">
        <v>762</v>
      </c>
      <c r="F57" s="271"/>
      <c r="G57" s="271"/>
      <c r="K57" s="316">
        <v>4</v>
      </c>
      <c r="L57" s="325"/>
      <c r="M57" s="325"/>
      <c r="N57" s="329">
        <f t="shared" si="0"/>
        <v>4</v>
      </c>
      <c r="O57" s="336">
        <v>0</v>
      </c>
    </row>
    <row r="58" spans="3:15" ht="174.75" customHeight="1">
      <c r="C58" s="284" t="s">
        <v>566</v>
      </c>
      <c r="D58" s="294" t="s">
        <v>768</v>
      </c>
      <c r="E58" s="272" t="s">
        <v>763</v>
      </c>
      <c r="F58" s="271"/>
      <c r="G58" s="271"/>
      <c r="K58" s="316">
        <v>86</v>
      </c>
      <c r="L58" s="325"/>
      <c r="M58" s="325"/>
      <c r="N58" s="329">
        <f t="shared" si="0"/>
        <v>86</v>
      </c>
      <c r="O58" s="336">
        <v>0</v>
      </c>
    </row>
    <row r="59" spans="3:15" ht="156" customHeight="1">
      <c r="C59" s="284" t="s">
        <v>566</v>
      </c>
      <c r="D59" s="294" t="s">
        <v>769</v>
      </c>
      <c r="E59" s="272" t="s">
        <v>764</v>
      </c>
      <c r="F59" s="271"/>
      <c r="G59" s="271"/>
      <c r="K59" s="316">
        <v>86</v>
      </c>
      <c r="L59" s="325"/>
      <c r="M59" s="325"/>
      <c r="N59" s="329">
        <f t="shared" si="0"/>
        <v>86</v>
      </c>
      <c r="O59" s="336">
        <v>0</v>
      </c>
    </row>
    <row r="60" spans="3:15" ht="38.25" customHeight="1">
      <c r="C60" s="284">
        <v>498</v>
      </c>
      <c r="D60" s="294" t="s">
        <v>772</v>
      </c>
      <c r="E60" s="269" t="s">
        <v>37</v>
      </c>
      <c r="F60" s="271" t="e">
        <f>G60-черн!Z66</f>
        <v>#REF!</v>
      </c>
      <c r="G60" s="271" t="e">
        <f>G61</f>
        <v>#REF!</v>
      </c>
      <c r="K60" s="316">
        <f>K61</f>
        <v>187.45999999999998</v>
      </c>
      <c r="L60" s="315"/>
      <c r="M60" s="315"/>
      <c r="N60" s="329">
        <f t="shared" si="0"/>
        <v>150.38</v>
      </c>
      <c r="O60" s="335">
        <f>O61</f>
        <v>37.08</v>
      </c>
    </row>
    <row r="61" spans="3:15" ht="18" customHeight="1">
      <c r="C61" s="284">
        <v>498</v>
      </c>
      <c r="D61" s="294" t="s">
        <v>773</v>
      </c>
      <c r="E61" s="267" t="s">
        <v>38</v>
      </c>
      <c r="F61" s="271" t="e">
        <f>G61-черн!Z67</f>
        <v>#REF!</v>
      </c>
      <c r="G61" s="271" t="e">
        <f>G62+#REF!+#REF!+G63</f>
        <v>#REF!</v>
      </c>
      <c r="K61" s="316">
        <f>K62+K63</f>
        <v>187.45999999999998</v>
      </c>
      <c r="L61" s="315"/>
      <c r="M61" s="315"/>
      <c r="N61" s="329">
        <f t="shared" si="0"/>
        <v>150.38</v>
      </c>
      <c r="O61" s="335">
        <f>O62+O63</f>
        <v>37.08</v>
      </c>
    </row>
    <row r="62" spans="3:15" ht="36">
      <c r="C62" s="284">
        <v>498</v>
      </c>
      <c r="D62" s="294" t="s">
        <v>774</v>
      </c>
      <c r="E62" s="267" t="s">
        <v>169</v>
      </c>
      <c r="F62" s="271">
        <f>G62-черн!Z68</f>
        <v>83</v>
      </c>
      <c r="G62" s="271">
        <v>129</v>
      </c>
      <c r="K62" s="316">
        <v>20.2</v>
      </c>
      <c r="L62" s="315"/>
      <c r="M62" s="315"/>
      <c r="N62" s="329">
        <f t="shared" si="0"/>
        <v>4.120000000000001</v>
      </c>
      <c r="O62" s="335">
        <v>16.08</v>
      </c>
    </row>
    <row r="63" spans="3:15" ht="43.5" customHeight="1">
      <c r="C63" s="284">
        <v>498</v>
      </c>
      <c r="D63" s="294" t="s">
        <v>775</v>
      </c>
      <c r="E63" s="289" t="s">
        <v>512</v>
      </c>
      <c r="F63" s="271">
        <f>G63-черн!Z71</f>
        <v>-83.19999999999999</v>
      </c>
      <c r="G63" s="271">
        <v>125</v>
      </c>
      <c r="K63" s="316">
        <f>K64+K65</f>
        <v>167.26</v>
      </c>
      <c r="L63" s="315"/>
      <c r="M63" s="315"/>
      <c r="N63" s="329">
        <f t="shared" si="0"/>
        <v>146.26</v>
      </c>
      <c r="O63" s="335">
        <v>21</v>
      </c>
    </row>
    <row r="64" spans="3:15" ht="24.75" customHeight="1">
      <c r="C64" s="284">
        <v>498</v>
      </c>
      <c r="D64" s="294" t="s">
        <v>776</v>
      </c>
      <c r="E64" s="289" t="s">
        <v>770</v>
      </c>
      <c r="F64" s="271"/>
      <c r="G64" s="271"/>
      <c r="K64" s="316">
        <v>165.26</v>
      </c>
      <c r="L64" s="315"/>
      <c r="M64" s="315"/>
      <c r="N64" s="329">
        <f t="shared" si="0"/>
        <v>165.26</v>
      </c>
      <c r="O64" s="335"/>
    </row>
    <row r="65" spans="3:15" ht="36.75" customHeight="1">
      <c r="C65" s="284">
        <v>498</v>
      </c>
      <c r="D65" s="294" t="s">
        <v>777</v>
      </c>
      <c r="E65" s="289" t="s">
        <v>771</v>
      </c>
      <c r="F65" s="271"/>
      <c r="G65" s="271"/>
      <c r="K65" s="316">
        <v>2</v>
      </c>
      <c r="L65" s="315"/>
      <c r="M65" s="315"/>
      <c r="N65" s="329">
        <f t="shared" si="0"/>
        <v>2</v>
      </c>
      <c r="O65" s="335"/>
    </row>
    <row r="66" spans="3:15" ht="35.25">
      <c r="C66" s="284" t="s">
        <v>566</v>
      </c>
      <c r="D66" s="293" t="s">
        <v>606</v>
      </c>
      <c r="E66" s="269" t="s">
        <v>39</v>
      </c>
      <c r="F66" s="271" t="e">
        <f>G66-черн!Z72</f>
        <v>#REF!</v>
      </c>
      <c r="G66" s="271">
        <v>266</v>
      </c>
      <c r="K66" s="316">
        <v>72.1</v>
      </c>
      <c r="L66" s="315"/>
      <c r="M66" s="315"/>
      <c r="N66" s="329">
        <f t="shared" si="0"/>
        <v>0</v>
      </c>
      <c r="O66" s="335">
        <v>72.1</v>
      </c>
    </row>
    <row r="67" spans="3:15" ht="35.25">
      <c r="C67" s="284" t="s">
        <v>566</v>
      </c>
      <c r="D67" s="293" t="s">
        <v>607</v>
      </c>
      <c r="E67" s="269" t="s">
        <v>44</v>
      </c>
      <c r="F67" s="271" t="e">
        <f>G67-черн!Z76</f>
        <v>#REF!</v>
      </c>
      <c r="G67" s="271">
        <v>266</v>
      </c>
      <c r="K67" s="316">
        <v>72.1</v>
      </c>
      <c r="L67" s="315"/>
      <c r="M67" s="315"/>
      <c r="N67" s="329">
        <f t="shared" si="0"/>
        <v>0</v>
      </c>
      <c r="O67" s="335">
        <v>72.1</v>
      </c>
    </row>
    <row r="68" spans="3:15" ht="54">
      <c r="C68" s="284" t="s">
        <v>566</v>
      </c>
      <c r="D68" s="294" t="s">
        <v>608</v>
      </c>
      <c r="E68" s="267" t="s">
        <v>172</v>
      </c>
      <c r="F68" s="271" t="e">
        <f>G68-черн!Z77</f>
        <v>#REF!</v>
      </c>
      <c r="G68" s="271">
        <v>266</v>
      </c>
      <c r="K68" s="316">
        <v>72.1</v>
      </c>
      <c r="L68" s="315"/>
      <c r="M68" s="315"/>
      <c r="N68" s="329">
        <f t="shared" si="0"/>
        <v>0</v>
      </c>
      <c r="O68" s="335">
        <v>72.1</v>
      </c>
    </row>
    <row r="69" spans="3:15" ht="35.25">
      <c r="C69" s="284" t="s">
        <v>566</v>
      </c>
      <c r="D69" s="293" t="s">
        <v>609</v>
      </c>
      <c r="E69" s="269" t="s">
        <v>47</v>
      </c>
      <c r="F69" s="271" t="e">
        <f>G69-черн!Z82</f>
        <v>#REF!</v>
      </c>
      <c r="G69" s="271" t="e">
        <f>#REF!+#REF!+#REF!+#REF!+#REF!</f>
        <v>#REF!</v>
      </c>
      <c r="K69" s="316">
        <f>K70+K85+K87+K90</f>
        <v>1421.09</v>
      </c>
      <c r="L69" s="315">
        <f>L70+L85+L87+L90</f>
        <v>0</v>
      </c>
      <c r="M69" s="315">
        <f>M70+M85+M87+M90</f>
        <v>0</v>
      </c>
      <c r="N69" s="329">
        <f t="shared" si="0"/>
        <v>28.089999999999918</v>
      </c>
      <c r="O69" s="335">
        <f>O70+O85+O87+O90</f>
        <v>1393</v>
      </c>
    </row>
    <row r="70" spans="3:15" ht="64.5" customHeight="1">
      <c r="C70" s="284" t="s">
        <v>612</v>
      </c>
      <c r="D70" s="294" t="s">
        <v>685</v>
      </c>
      <c r="E70" s="267" t="s">
        <v>683</v>
      </c>
      <c r="F70" s="271"/>
      <c r="G70" s="271"/>
      <c r="K70" s="316">
        <f>K71+K73+K74+K76+K78+K80+K82+K84</f>
        <v>376.8</v>
      </c>
      <c r="L70" s="315">
        <f>L71+L73+L74+L76+L78+L80+L82+L84</f>
        <v>0</v>
      </c>
      <c r="M70" s="315">
        <f>M71+M73+M74+M76+M78+M80+M82+M84</f>
        <v>0</v>
      </c>
      <c r="N70" s="329">
        <f t="shared" si="0"/>
        <v>23.80000000000001</v>
      </c>
      <c r="O70" s="335">
        <f>O71+O73+O74+O76+O78+O80+O82+O84</f>
        <v>353</v>
      </c>
    </row>
    <row r="71" spans="3:15" ht="100.5" customHeight="1">
      <c r="C71" s="284" t="s">
        <v>612</v>
      </c>
      <c r="D71" s="294" t="s">
        <v>686</v>
      </c>
      <c r="E71" s="267" t="s">
        <v>684</v>
      </c>
      <c r="F71" s="271"/>
      <c r="G71" s="271"/>
      <c r="K71" s="316">
        <v>22</v>
      </c>
      <c r="L71" s="315"/>
      <c r="M71" s="315"/>
      <c r="N71" s="329">
        <f t="shared" si="0"/>
        <v>2</v>
      </c>
      <c r="O71" s="335">
        <v>20</v>
      </c>
    </row>
    <row r="72" spans="3:15" ht="131.25" customHeight="1">
      <c r="C72" s="284" t="s">
        <v>612</v>
      </c>
      <c r="D72" s="294" t="s">
        <v>687</v>
      </c>
      <c r="E72" s="272" t="s">
        <v>664</v>
      </c>
      <c r="F72" s="271"/>
      <c r="G72" s="271"/>
      <c r="K72" s="316">
        <v>22</v>
      </c>
      <c r="L72" s="315"/>
      <c r="M72" s="315"/>
      <c r="N72" s="329">
        <f t="shared" si="0"/>
        <v>2</v>
      </c>
      <c r="O72" s="335">
        <v>20</v>
      </c>
    </row>
    <row r="73" spans="3:15" ht="129" customHeight="1">
      <c r="C73" s="284" t="s">
        <v>612</v>
      </c>
      <c r="D73" s="294" t="s">
        <v>688</v>
      </c>
      <c r="E73" s="267" t="s">
        <v>665</v>
      </c>
      <c r="F73" s="271"/>
      <c r="G73" s="271"/>
      <c r="K73" s="316">
        <v>31</v>
      </c>
      <c r="L73" s="315"/>
      <c r="M73" s="315"/>
      <c r="N73" s="329">
        <f t="shared" si="0"/>
        <v>3</v>
      </c>
      <c r="O73" s="335">
        <v>28</v>
      </c>
    </row>
    <row r="74" spans="3:15" ht="167.25" customHeight="1">
      <c r="C74" s="284" t="s">
        <v>612</v>
      </c>
      <c r="D74" s="294" t="s">
        <v>689</v>
      </c>
      <c r="E74" s="272" t="s">
        <v>666</v>
      </c>
      <c r="F74" s="271"/>
      <c r="G74" s="271"/>
      <c r="K74" s="316">
        <v>31</v>
      </c>
      <c r="L74" s="315"/>
      <c r="M74" s="315"/>
      <c r="N74" s="329">
        <f aca="true" t="shared" si="1" ref="N74:N135">K74-O74</f>
        <v>3</v>
      </c>
      <c r="O74" s="335">
        <v>28</v>
      </c>
    </row>
    <row r="75" spans="3:15" ht="100.5" customHeight="1">
      <c r="C75" s="284" t="s">
        <v>612</v>
      </c>
      <c r="D75" s="294" t="s">
        <v>690</v>
      </c>
      <c r="E75" s="267" t="s">
        <v>667</v>
      </c>
      <c r="F75" s="271"/>
      <c r="G75" s="271"/>
      <c r="K75" s="316">
        <v>16</v>
      </c>
      <c r="L75" s="315"/>
      <c r="M75" s="315"/>
      <c r="N75" s="329">
        <f t="shared" si="1"/>
        <v>2</v>
      </c>
      <c r="O75" s="335">
        <v>14</v>
      </c>
    </row>
    <row r="76" spans="3:15" ht="123.75" customHeight="1">
      <c r="C76" s="284" t="s">
        <v>612</v>
      </c>
      <c r="D76" s="294" t="s">
        <v>691</v>
      </c>
      <c r="E76" s="272" t="s">
        <v>668</v>
      </c>
      <c r="F76" s="271"/>
      <c r="G76" s="271"/>
      <c r="K76" s="316">
        <v>16</v>
      </c>
      <c r="L76" s="315"/>
      <c r="M76" s="315"/>
      <c r="N76" s="329">
        <f t="shared" si="1"/>
        <v>2</v>
      </c>
      <c r="O76" s="335">
        <v>14</v>
      </c>
    </row>
    <row r="77" spans="3:15" ht="117.75" customHeight="1">
      <c r="C77" s="284" t="s">
        <v>612</v>
      </c>
      <c r="D77" s="294" t="s">
        <v>692</v>
      </c>
      <c r="E77" s="267" t="s">
        <v>669</v>
      </c>
      <c r="F77" s="271"/>
      <c r="G77" s="271"/>
      <c r="K77" s="316">
        <v>24</v>
      </c>
      <c r="L77" s="315"/>
      <c r="M77" s="315"/>
      <c r="N77" s="329">
        <f t="shared" si="1"/>
        <v>4</v>
      </c>
      <c r="O77" s="335">
        <v>20</v>
      </c>
    </row>
    <row r="78" spans="3:15" ht="151.5" customHeight="1">
      <c r="C78" s="284" t="s">
        <v>612</v>
      </c>
      <c r="D78" s="294" t="s">
        <v>693</v>
      </c>
      <c r="E78" s="272" t="s">
        <v>670</v>
      </c>
      <c r="F78" s="271"/>
      <c r="G78" s="271"/>
      <c r="K78" s="316">
        <v>24</v>
      </c>
      <c r="L78" s="315"/>
      <c r="M78" s="315"/>
      <c r="N78" s="329">
        <f t="shared" si="1"/>
        <v>4</v>
      </c>
      <c r="O78" s="335">
        <v>20</v>
      </c>
    </row>
    <row r="79" spans="3:15" ht="123" customHeight="1">
      <c r="C79" s="284" t="s">
        <v>612</v>
      </c>
      <c r="D79" s="294" t="s">
        <v>694</v>
      </c>
      <c r="E79" s="267" t="s">
        <v>671</v>
      </c>
      <c r="F79" s="271"/>
      <c r="G79" s="271"/>
      <c r="K79" s="316">
        <v>7.5</v>
      </c>
      <c r="L79" s="315"/>
      <c r="M79" s="315"/>
      <c r="N79" s="329">
        <f t="shared" si="1"/>
        <v>2.5</v>
      </c>
      <c r="O79" s="335">
        <v>5</v>
      </c>
    </row>
    <row r="80" spans="3:15" ht="186.75" customHeight="1">
      <c r="C80" s="284" t="s">
        <v>612</v>
      </c>
      <c r="D80" s="294" t="s">
        <v>695</v>
      </c>
      <c r="E80" s="272" t="s">
        <v>672</v>
      </c>
      <c r="F80" s="271"/>
      <c r="G80" s="271"/>
      <c r="K80" s="316">
        <v>7.5</v>
      </c>
      <c r="L80" s="315"/>
      <c r="M80" s="315"/>
      <c r="N80" s="329">
        <f t="shared" si="1"/>
        <v>2.5</v>
      </c>
      <c r="O80" s="335">
        <v>5</v>
      </c>
    </row>
    <row r="81" spans="3:15" ht="99" customHeight="1">
      <c r="C81" s="284" t="s">
        <v>612</v>
      </c>
      <c r="D81" s="294" t="s">
        <v>696</v>
      </c>
      <c r="E81" s="267" t="s">
        <v>673</v>
      </c>
      <c r="F81" s="271"/>
      <c r="G81" s="271"/>
      <c r="K81" s="316">
        <v>30.3</v>
      </c>
      <c r="L81" s="315"/>
      <c r="M81" s="315"/>
      <c r="N81" s="329">
        <f t="shared" si="1"/>
        <v>2.3000000000000007</v>
      </c>
      <c r="O81" s="335">
        <v>28</v>
      </c>
    </row>
    <row r="82" spans="3:15" ht="138" customHeight="1">
      <c r="C82" s="284" t="s">
        <v>612</v>
      </c>
      <c r="D82" s="294" t="s">
        <v>697</v>
      </c>
      <c r="E82" s="272" t="s">
        <v>674</v>
      </c>
      <c r="F82" s="271"/>
      <c r="G82" s="271"/>
      <c r="K82" s="316">
        <v>30.3</v>
      </c>
      <c r="L82" s="315"/>
      <c r="M82" s="315"/>
      <c r="N82" s="329">
        <f t="shared" si="1"/>
        <v>2.3000000000000007</v>
      </c>
      <c r="O82" s="335">
        <v>28</v>
      </c>
    </row>
    <row r="83" spans="3:15" ht="126" customHeight="1">
      <c r="C83" s="284" t="s">
        <v>612</v>
      </c>
      <c r="D83" s="294" t="s">
        <v>698</v>
      </c>
      <c r="E83" s="267" t="s">
        <v>675</v>
      </c>
      <c r="F83" s="271"/>
      <c r="G83" s="271"/>
      <c r="K83" s="316">
        <v>215</v>
      </c>
      <c r="L83" s="315"/>
      <c r="M83" s="315"/>
      <c r="N83" s="329">
        <f t="shared" si="1"/>
        <v>5</v>
      </c>
      <c r="O83" s="335">
        <v>210</v>
      </c>
    </row>
    <row r="84" spans="3:15" ht="153" customHeight="1">
      <c r="C84" s="284" t="s">
        <v>612</v>
      </c>
      <c r="D84" s="294" t="s">
        <v>699</v>
      </c>
      <c r="E84" s="272" t="s">
        <v>676</v>
      </c>
      <c r="F84" s="271"/>
      <c r="G84" s="271"/>
      <c r="K84" s="316">
        <v>215</v>
      </c>
      <c r="L84" s="315"/>
      <c r="M84" s="315"/>
      <c r="N84" s="329">
        <f t="shared" si="1"/>
        <v>5</v>
      </c>
      <c r="O84" s="335">
        <v>210</v>
      </c>
    </row>
    <row r="85" spans="3:15" ht="64.5" customHeight="1">
      <c r="C85" s="284" t="s">
        <v>612</v>
      </c>
      <c r="D85" s="294" t="s">
        <v>700</v>
      </c>
      <c r="E85" s="267" t="s">
        <v>677</v>
      </c>
      <c r="F85" s="271"/>
      <c r="G85" s="271"/>
      <c r="K85" s="316">
        <f>K86</f>
        <v>240</v>
      </c>
      <c r="L85" s="315">
        <f>L86</f>
        <v>0</v>
      </c>
      <c r="M85" s="315">
        <f>M86</f>
        <v>0</v>
      </c>
      <c r="N85" s="329">
        <f t="shared" si="1"/>
        <v>0</v>
      </c>
      <c r="O85" s="335">
        <f>O86</f>
        <v>240</v>
      </c>
    </row>
    <row r="86" spans="3:15" ht="99.75" customHeight="1">
      <c r="C86" s="284" t="s">
        <v>612</v>
      </c>
      <c r="D86" s="294" t="s">
        <v>701</v>
      </c>
      <c r="E86" s="267" t="s">
        <v>663</v>
      </c>
      <c r="F86" s="271"/>
      <c r="G86" s="271"/>
      <c r="K86" s="316">
        <v>240</v>
      </c>
      <c r="L86" s="315"/>
      <c r="M86" s="315"/>
      <c r="N86" s="329">
        <f t="shared" si="1"/>
        <v>0</v>
      </c>
      <c r="O86" s="335">
        <v>240</v>
      </c>
    </row>
    <row r="87" spans="3:15" ht="53.25" customHeight="1">
      <c r="C87" s="284" t="s">
        <v>612</v>
      </c>
      <c r="D87" s="294" t="s">
        <v>702</v>
      </c>
      <c r="E87" s="267" t="s">
        <v>678</v>
      </c>
      <c r="F87" s="271"/>
      <c r="G87" s="271"/>
      <c r="K87" s="316">
        <f>K88</f>
        <v>247.29</v>
      </c>
      <c r="L87" s="315">
        <f>L88</f>
        <v>0</v>
      </c>
      <c r="M87" s="315">
        <f>M88</f>
        <v>0</v>
      </c>
      <c r="N87" s="329">
        <f t="shared" si="1"/>
        <v>-2.710000000000008</v>
      </c>
      <c r="O87" s="335">
        <f>O88</f>
        <v>250</v>
      </c>
    </row>
    <row r="88" spans="3:15" ht="126" customHeight="1">
      <c r="C88" s="284" t="s">
        <v>612</v>
      </c>
      <c r="D88" s="294" t="s">
        <v>703</v>
      </c>
      <c r="E88" s="267" t="s">
        <v>679</v>
      </c>
      <c r="F88" s="271"/>
      <c r="G88" s="271"/>
      <c r="K88" s="316">
        <v>247.29</v>
      </c>
      <c r="L88" s="315"/>
      <c r="M88" s="315"/>
      <c r="N88" s="329">
        <f t="shared" si="1"/>
        <v>-2.710000000000008</v>
      </c>
      <c r="O88" s="335">
        <v>250</v>
      </c>
    </row>
    <row r="89" spans="3:15" ht="99.75" customHeight="1">
      <c r="C89" s="284" t="s">
        <v>612</v>
      </c>
      <c r="D89" s="294" t="s">
        <v>704</v>
      </c>
      <c r="E89" s="267" t="s">
        <v>680</v>
      </c>
      <c r="F89" s="271"/>
      <c r="G89" s="271"/>
      <c r="K89" s="316">
        <v>247.29</v>
      </c>
      <c r="L89" s="315"/>
      <c r="M89" s="315"/>
      <c r="N89" s="329">
        <f t="shared" si="1"/>
        <v>-2.710000000000008</v>
      </c>
      <c r="O89" s="335">
        <v>250</v>
      </c>
    </row>
    <row r="90" spans="3:15" ht="42" customHeight="1">
      <c r="C90" s="284" t="s">
        <v>612</v>
      </c>
      <c r="D90" s="294" t="s">
        <v>705</v>
      </c>
      <c r="E90" s="267" t="s">
        <v>681</v>
      </c>
      <c r="F90" s="271"/>
      <c r="G90" s="271"/>
      <c r="K90" s="316">
        <f>K91</f>
        <v>557</v>
      </c>
      <c r="L90" s="315">
        <f>L91</f>
        <v>0</v>
      </c>
      <c r="M90" s="315">
        <f>M91</f>
        <v>0</v>
      </c>
      <c r="N90" s="329">
        <f t="shared" si="1"/>
        <v>7</v>
      </c>
      <c r="O90" s="335">
        <f>O91</f>
        <v>550</v>
      </c>
    </row>
    <row r="91" spans="3:15" ht="156.75" customHeight="1">
      <c r="C91" s="284" t="s">
        <v>612</v>
      </c>
      <c r="D91" s="294" t="s">
        <v>706</v>
      </c>
      <c r="E91" s="272" t="s">
        <v>682</v>
      </c>
      <c r="F91" s="271"/>
      <c r="G91" s="271"/>
      <c r="K91" s="316">
        <v>557</v>
      </c>
      <c r="L91" s="315"/>
      <c r="M91" s="315"/>
      <c r="N91" s="329">
        <f t="shared" si="1"/>
        <v>7</v>
      </c>
      <c r="O91" s="335">
        <v>550</v>
      </c>
    </row>
    <row r="92" spans="3:15" ht="18">
      <c r="C92" s="284" t="s">
        <v>566</v>
      </c>
      <c r="D92" s="293" t="s">
        <v>610</v>
      </c>
      <c r="E92" s="269" t="s">
        <v>76</v>
      </c>
      <c r="F92" s="271" t="e">
        <f>G92-'[1]черн'!Z105</f>
        <v>#REF!</v>
      </c>
      <c r="G92" s="271" t="e">
        <f>G93</f>
        <v>#REF!</v>
      </c>
      <c r="K92" s="316">
        <f>K93</f>
        <v>883008.5000000002</v>
      </c>
      <c r="L92" s="315"/>
      <c r="M92" s="315"/>
      <c r="N92" s="329">
        <f t="shared" si="1"/>
        <v>-61005.599999999744</v>
      </c>
      <c r="O92" s="335">
        <f>O93</f>
        <v>944014.1</v>
      </c>
    </row>
    <row r="93" spans="3:15" ht="35.25">
      <c r="C93" s="284" t="s">
        <v>566</v>
      </c>
      <c r="D93" s="293" t="s">
        <v>611</v>
      </c>
      <c r="E93" s="269" t="s">
        <v>77</v>
      </c>
      <c r="F93" s="271" t="e">
        <f>G93-'[1]черн'!Z106</f>
        <v>#REF!</v>
      </c>
      <c r="G93" s="271" t="e">
        <f>G94+G99+G119+#REF!</f>
        <v>#REF!</v>
      </c>
      <c r="K93" s="316">
        <f>K94+K99+K118+K127</f>
        <v>883008.5000000002</v>
      </c>
      <c r="L93" s="315"/>
      <c r="M93" s="315"/>
      <c r="N93" s="329">
        <f t="shared" si="1"/>
        <v>-61005.599999999744</v>
      </c>
      <c r="O93" s="335">
        <f>O94+O99+O118+O127</f>
        <v>944014.1</v>
      </c>
    </row>
    <row r="94" spans="3:15" ht="35.25">
      <c r="C94" s="284" t="s">
        <v>566</v>
      </c>
      <c r="D94" s="293" t="s">
        <v>645</v>
      </c>
      <c r="E94" s="269" t="s">
        <v>78</v>
      </c>
      <c r="F94" s="271">
        <f>G94-'[1]черн'!Z107</f>
        <v>69513.70000000001</v>
      </c>
      <c r="G94" s="271">
        <f>G95</f>
        <v>136746.2</v>
      </c>
      <c r="K94" s="316">
        <f>K95+K97</f>
        <v>277636.9</v>
      </c>
      <c r="L94" s="315"/>
      <c r="M94" s="315"/>
      <c r="N94" s="329">
        <f t="shared" si="1"/>
        <v>7369.900000000023</v>
      </c>
      <c r="O94" s="335">
        <f>O95+O97</f>
        <v>270267</v>
      </c>
    </row>
    <row r="95" spans="3:15" ht="36">
      <c r="C95" s="284" t="s">
        <v>566</v>
      </c>
      <c r="D95" s="293" t="s">
        <v>647</v>
      </c>
      <c r="E95" s="267" t="s">
        <v>79</v>
      </c>
      <c r="F95" s="271" t="e">
        <f>G95-'[1]черн'!Z108</f>
        <v>#REF!</v>
      </c>
      <c r="G95" s="277">
        <f>G96</f>
        <v>136746.2</v>
      </c>
      <c r="H95" s="265"/>
      <c r="I95" s="68"/>
      <c r="J95" s="68"/>
      <c r="K95" s="316">
        <f>K96</f>
        <v>277636.9</v>
      </c>
      <c r="L95" s="315"/>
      <c r="M95" s="315"/>
      <c r="N95" s="329">
        <f t="shared" si="1"/>
        <v>8869.900000000023</v>
      </c>
      <c r="O95" s="335">
        <f>O96</f>
        <v>268767</v>
      </c>
    </row>
    <row r="96" spans="3:15" ht="36">
      <c r="C96" s="284" t="s">
        <v>566</v>
      </c>
      <c r="D96" s="294" t="s">
        <v>646</v>
      </c>
      <c r="E96" s="267" t="s">
        <v>80</v>
      </c>
      <c r="F96" s="271" t="e">
        <f>G96-'[1]черн'!Z109</f>
        <v>#REF!</v>
      </c>
      <c r="G96" s="277">
        <v>136746.2</v>
      </c>
      <c r="H96" s="265"/>
      <c r="I96" s="68"/>
      <c r="J96" s="264"/>
      <c r="K96" s="316">
        <v>277636.9</v>
      </c>
      <c r="L96" s="315"/>
      <c r="M96" s="315"/>
      <c r="N96" s="329">
        <f t="shared" si="1"/>
        <v>8869.900000000023</v>
      </c>
      <c r="O96" s="335">
        <v>268767</v>
      </c>
    </row>
    <row r="97" spans="3:15" ht="45" customHeight="1">
      <c r="C97" s="284" t="s">
        <v>566</v>
      </c>
      <c r="D97" s="294" t="s">
        <v>752</v>
      </c>
      <c r="E97" s="267" t="s">
        <v>81</v>
      </c>
      <c r="F97" s="271"/>
      <c r="G97" s="277"/>
      <c r="H97" s="265"/>
      <c r="I97" s="68"/>
      <c r="J97" s="264"/>
      <c r="K97" s="316">
        <v>0</v>
      </c>
      <c r="L97" s="315"/>
      <c r="M97" s="315"/>
      <c r="N97" s="329">
        <f t="shared" si="1"/>
        <v>-1500</v>
      </c>
      <c r="O97" s="335">
        <v>1500</v>
      </c>
    </row>
    <row r="98" spans="3:15" ht="54">
      <c r="C98" s="284" t="s">
        <v>566</v>
      </c>
      <c r="D98" s="294" t="s">
        <v>752</v>
      </c>
      <c r="E98" s="267" t="s">
        <v>82</v>
      </c>
      <c r="F98" s="271"/>
      <c r="G98" s="277"/>
      <c r="H98" s="265"/>
      <c r="I98" s="68"/>
      <c r="J98" s="264"/>
      <c r="K98" s="316">
        <v>0</v>
      </c>
      <c r="L98" s="315"/>
      <c r="M98" s="315"/>
      <c r="N98" s="329">
        <f t="shared" si="1"/>
        <v>-1500</v>
      </c>
      <c r="O98" s="335">
        <v>1500</v>
      </c>
    </row>
    <row r="99" spans="3:15" s="237" customFormat="1" ht="60" customHeight="1">
      <c r="C99" s="284" t="s">
        <v>566</v>
      </c>
      <c r="D99" s="299" t="s">
        <v>780</v>
      </c>
      <c r="E99" s="278" t="s">
        <v>83</v>
      </c>
      <c r="F99" s="271" t="e">
        <f>G99-'[1]черн'!Z112</f>
        <v>#REF!</v>
      </c>
      <c r="G99" s="277" t="e">
        <f>#REF!+#REF!</f>
        <v>#REF!</v>
      </c>
      <c r="H99" s="265"/>
      <c r="I99" s="68"/>
      <c r="J99" s="68"/>
      <c r="K99" s="316">
        <f>K100+K102+K106+K108+K110+K112+K116</f>
        <v>123507.40000000002</v>
      </c>
      <c r="L99" s="315"/>
      <c r="M99" s="315"/>
      <c r="N99" s="329">
        <f t="shared" si="1"/>
        <v>-63280.79999999999</v>
      </c>
      <c r="O99" s="335">
        <f>O100+O102+O106+O108+O110+O112+O116</f>
        <v>186788.2</v>
      </c>
    </row>
    <row r="100" spans="3:15" s="237" customFormat="1" ht="168" customHeight="1">
      <c r="C100" s="284" t="s">
        <v>725</v>
      </c>
      <c r="D100" s="294" t="s">
        <v>740</v>
      </c>
      <c r="E100" s="312" t="s">
        <v>738</v>
      </c>
      <c r="F100" s="271"/>
      <c r="G100" s="277"/>
      <c r="H100" s="68"/>
      <c r="I100" s="68"/>
      <c r="J100" s="68"/>
      <c r="K100" s="316">
        <v>0</v>
      </c>
      <c r="L100" s="315"/>
      <c r="M100" s="315"/>
      <c r="N100" s="329">
        <f t="shared" si="1"/>
        <v>-51788</v>
      </c>
      <c r="O100" s="335">
        <f>O101</f>
        <v>51788</v>
      </c>
    </row>
    <row r="101" spans="3:15" s="237" customFormat="1" ht="169.5" customHeight="1">
      <c r="C101" s="284" t="s">
        <v>725</v>
      </c>
      <c r="D101" s="294" t="s">
        <v>741</v>
      </c>
      <c r="E101" s="312" t="s">
        <v>739</v>
      </c>
      <c r="F101" s="271"/>
      <c r="G101" s="277"/>
      <c r="H101" s="68"/>
      <c r="I101" s="68"/>
      <c r="J101" s="68"/>
      <c r="K101" s="316">
        <v>0</v>
      </c>
      <c r="L101" s="315"/>
      <c r="M101" s="315"/>
      <c r="N101" s="329">
        <f t="shared" si="1"/>
        <v>-51788</v>
      </c>
      <c r="O101" s="335">
        <v>51788</v>
      </c>
    </row>
    <row r="102" spans="3:15" s="237" customFormat="1" ht="129" customHeight="1">
      <c r="C102" s="284" t="s">
        <v>725</v>
      </c>
      <c r="D102" s="294" t="s">
        <v>745</v>
      </c>
      <c r="E102" s="312" t="s">
        <v>742</v>
      </c>
      <c r="F102" s="271"/>
      <c r="G102" s="277"/>
      <c r="H102" s="68"/>
      <c r="I102" s="68"/>
      <c r="J102" s="68"/>
      <c r="K102" s="316">
        <f>K103</f>
        <v>9917.3</v>
      </c>
      <c r="L102" s="315"/>
      <c r="M102" s="315"/>
      <c r="N102" s="329">
        <f t="shared" si="1"/>
        <v>-41666.3</v>
      </c>
      <c r="O102" s="335">
        <v>51583.6</v>
      </c>
    </row>
    <row r="103" spans="3:15" s="237" customFormat="1" ht="126.75" customHeight="1">
      <c r="C103" s="284" t="s">
        <v>725</v>
      </c>
      <c r="D103" s="294" t="s">
        <v>744</v>
      </c>
      <c r="E103" s="312" t="s">
        <v>743</v>
      </c>
      <c r="F103" s="271"/>
      <c r="G103" s="277"/>
      <c r="H103" s="68"/>
      <c r="I103" s="68"/>
      <c r="J103" s="68"/>
      <c r="K103" s="316">
        <v>9917.3</v>
      </c>
      <c r="L103" s="315"/>
      <c r="M103" s="315"/>
      <c r="N103" s="329">
        <f t="shared" si="1"/>
        <v>-41666.3</v>
      </c>
      <c r="O103" s="335">
        <v>51583.6</v>
      </c>
    </row>
    <row r="104" spans="3:15" s="237" customFormat="1" ht="89.25" customHeight="1">
      <c r="C104" s="284" t="s">
        <v>566</v>
      </c>
      <c r="D104" s="294" t="s">
        <v>630</v>
      </c>
      <c r="E104" s="267" t="s">
        <v>619</v>
      </c>
      <c r="F104" s="271"/>
      <c r="G104" s="271"/>
      <c r="K104" s="316">
        <v>0</v>
      </c>
      <c r="L104" s="315"/>
      <c r="M104" s="315"/>
      <c r="N104" s="329">
        <f t="shared" si="1"/>
        <v>0</v>
      </c>
      <c r="O104" s="335">
        <v>0</v>
      </c>
    </row>
    <row r="105" spans="3:15" s="237" customFormat="1" ht="72">
      <c r="C105" s="284" t="s">
        <v>566</v>
      </c>
      <c r="D105" s="294" t="s">
        <v>631</v>
      </c>
      <c r="E105" s="267" t="s">
        <v>618</v>
      </c>
      <c r="F105" s="271"/>
      <c r="G105" s="271"/>
      <c r="K105" s="316">
        <v>0</v>
      </c>
      <c r="L105" s="315"/>
      <c r="M105" s="315"/>
      <c r="N105" s="329">
        <f t="shared" si="1"/>
        <v>0</v>
      </c>
      <c r="O105" s="335">
        <v>0</v>
      </c>
    </row>
    <row r="106" spans="3:15" s="237" customFormat="1" ht="80.25" customHeight="1">
      <c r="C106" s="284" t="s">
        <v>566</v>
      </c>
      <c r="D106" s="294" t="s">
        <v>779</v>
      </c>
      <c r="E106" s="267" t="s">
        <v>707</v>
      </c>
      <c r="F106" s="271"/>
      <c r="G106" s="271"/>
      <c r="K106" s="316">
        <v>18747</v>
      </c>
      <c r="L106" s="315"/>
      <c r="M106" s="315"/>
      <c r="N106" s="329">
        <f t="shared" si="1"/>
        <v>-688.7000000000007</v>
      </c>
      <c r="O106" s="335">
        <f>O107</f>
        <v>19435.7</v>
      </c>
    </row>
    <row r="107" spans="3:15" s="237" customFormat="1" ht="96" customHeight="1">
      <c r="C107" s="284" t="s">
        <v>709</v>
      </c>
      <c r="D107" s="294" t="s">
        <v>710</v>
      </c>
      <c r="E107" s="267" t="s">
        <v>708</v>
      </c>
      <c r="F107" s="271"/>
      <c r="G107" s="271"/>
      <c r="K107" s="316">
        <v>18747</v>
      </c>
      <c r="L107" s="315"/>
      <c r="M107" s="315"/>
      <c r="N107" s="329">
        <f t="shared" si="1"/>
        <v>-688.7000000000007</v>
      </c>
      <c r="O107" s="335">
        <f>3597.8+15837.9</f>
        <v>19435.7</v>
      </c>
    </row>
    <row r="108" spans="3:15" s="237" customFormat="1" ht="72">
      <c r="C108" s="284" t="s">
        <v>566</v>
      </c>
      <c r="D108" s="296" t="s">
        <v>634</v>
      </c>
      <c r="E108" s="267" t="s">
        <v>632</v>
      </c>
      <c r="F108" s="271"/>
      <c r="G108" s="271"/>
      <c r="K108" s="316">
        <v>526.5</v>
      </c>
      <c r="L108" s="315"/>
      <c r="M108" s="315"/>
      <c r="N108" s="329">
        <f t="shared" si="1"/>
        <v>-39.299999999999955</v>
      </c>
      <c r="O108" s="335">
        <v>565.8</v>
      </c>
    </row>
    <row r="109" spans="3:15" s="237" customFormat="1" ht="72">
      <c r="C109" s="284" t="s">
        <v>566</v>
      </c>
      <c r="D109" s="296" t="s">
        <v>635</v>
      </c>
      <c r="E109" s="267" t="s">
        <v>633</v>
      </c>
      <c r="F109" s="271"/>
      <c r="G109" s="271"/>
      <c r="K109" s="316">
        <v>526.5</v>
      </c>
      <c r="L109" s="315"/>
      <c r="M109" s="315"/>
      <c r="N109" s="329">
        <f t="shared" si="1"/>
        <v>-39.299999999999955</v>
      </c>
      <c r="O109" s="335">
        <v>565.8</v>
      </c>
    </row>
    <row r="110" spans="3:15" s="237" customFormat="1" ht="36">
      <c r="C110" s="284" t="s">
        <v>566</v>
      </c>
      <c r="D110" s="296" t="s">
        <v>638</v>
      </c>
      <c r="E110" s="267" t="s">
        <v>636</v>
      </c>
      <c r="F110" s="271"/>
      <c r="G110" s="271"/>
      <c r="K110" s="316">
        <v>1959.2</v>
      </c>
      <c r="L110" s="315"/>
      <c r="M110" s="315"/>
      <c r="N110" s="329">
        <f t="shared" si="1"/>
        <v>775.8</v>
      </c>
      <c r="O110" s="335">
        <f>O111</f>
        <v>1183.4</v>
      </c>
    </row>
    <row r="111" spans="3:15" s="237" customFormat="1" ht="55.5" customHeight="1">
      <c r="C111" s="284" t="s">
        <v>566</v>
      </c>
      <c r="D111" s="296" t="s">
        <v>639</v>
      </c>
      <c r="E111" s="267" t="s">
        <v>637</v>
      </c>
      <c r="F111" s="271"/>
      <c r="G111" s="271"/>
      <c r="K111" s="316">
        <v>1959.2</v>
      </c>
      <c r="L111" s="315"/>
      <c r="M111" s="315"/>
      <c r="N111" s="329">
        <f t="shared" si="1"/>
        <v>775.8</v>
      </c>
      <c r="O111" s="335">
        <v>1183.4</v>
      </c>
    </row>
    <row r="112" spans="3:15" s="237" customFormat="1" ht="18">
      <c r="C112" s="284" t="s">
        <v>730</v>
      </c>
      <c r="D112" s="296" t="s">
        <v>662</v>
      </c>
      <c r="E112" s="267" t="s">
        <v>661</v>
      </c>
      <c r="F112" s="271"/>
      <c r="G112" s="271"/>
      <c r="K112" s="316">
        <f>K113</f>
        <v>96.9</v>
      </c>
      <c r="L112" s="315"/>
      <c r="M112" s="315"/>
      <c r="N112" s="329">
        <f t="shared" si="1"/>
        <v>-61.900000000000006</v>
      </c>
      <c r="O112" s="335">
        <f>101+57.8</f>
        <v>158.8</v>
      </c>
    </row>
    <row r="113" spans="3:15" s="237" customFormat="1" ht="36" customHeight="1">
      <c r="C113" s="284" t="s">
        <v>730</v>
      </c>
      <c r="D113" s="296" t="s">
        <v>660</v>
      </c>
      <c r="E113" s="267" t="s">
        <v>659</v>
      </c>
      <c r="F113" s="271"/>
      <c r="G113" s="271"/>
      <c r="K113" s="316">
        <f>50.5+46.4</f>
        <v>96.9</v>
      </c>
      <c r="L113" s="315"/>
      <c r="M113" s="315"/>
      <c r="N113" s="329">
        <f t="shared" si="1"/>
        <v>-61.900000000000006</v>
      </c>
      <c r="O113" s="335">
        <f>101+57.8</f>
        <v>158.8</v>
      </c>
    </row>
    <row r="114" spans="3:15" s="237" customFormat="1" ht="36" hidden="1">
      <c r="C114" s="284" t="s">
        <v>725</v>
      </c>
      <c r="D114" s="288" t="s">
        <v>726</v>
      </c>
      <c r="E114" s="267" t="s">
        <v>727</v>
      </c>
      <c r="F114" s="271"/>
      <c r="G114" s="271"/>
      <c r="K114" s="316"/>
      <c r="L114" s="315"/>
      <c r="M114" s="315"/>
      <c r="N114" s="329">
        <f t="shared" si="1"/>
        <v>0</v>
      </c>
      <c r="O114" s="335"/>
    </row>
    <row r="115" spans="3:15" s="237" customFormat="1" ht="54" hidden="1">
      <c r="C115" s="284" t="s">
        <v>725</v>
      </c>
      <c r="D115" s="288" t="s">
        <v>728</v>
      </c>
      <c r="E115" s="267" t="s">
        <v>729</v>
      </c>
      <c r="F115" s="271"/>
      <c r="G115" s="271"/>
      <c r="K115" s="316"/>
      <c r="L115" s="315"/>
      <c r="M115" s="315"/>
      <c r="N115" s="329">
        <f t="shared" si="1"/>
        <v>0</v>
      </c>
      <c r="O115" s="335"/>
    </row>
    <row r="116" spans="3:15" ht="18">
      <c r="C116" s="284" t="s">
        <v>566</v>
      </c>
      <c r="D116" s="294" t="s">
        <v>643</v>
      </c>
      <c r="E116" s="267" t="s">
        <v>466</v>
      </c>
      <c r="F116" s="271"/>
      <c r="G116" s="271"/>
      <c r="H116" s="237"/>
      <c r="I116" s="237"/>
      <c r="J116" s="237"/>
      <c r="K116" s="316">
        <f>K117</f>
        <v>92260.50000000001</v>
      </c>
      <c r="L116" s="315"/>
      <c r="M116" s="315"/>
      <c r="N116" s="329">
        <f t="shared" si="1"/>
        <v>30187.60000000002</v>
      </c>
      <c r="O116" s="335">
        <f>O117</f>
        <v>62072.899999999994</v>
      </c>
    </row>
    <row r="117" spans="3:15" ht="18">
      <c r="C117" s="284" t="s">
        <v>566</v>
      </c>
      <c r="D117" s="294" t="s">
        <v>642</v>
      </c>
      <c r="E117" s="267" t="s">
        <v>467</v>
      </c>
      <c r="F117" s="271"/>
      <c r="G117" s="271"/>
      <c r="H117" s="237"/>
      <c r="I117" s="237"/>
      <c r="J117" s="237"/>
      <c r="K117" s="316">
        <f>2491.2+416+657.4+83923.8+2639+2133.1</f>
        <v>92260.50000000001</v>
      </c>
      <c r="L117" s="315"/>
      <c r="M117" s="315"/>
      <c r="N117" s="329">
        <f t="shared" si="1"/>
        <v>30187.60000000002</v>
      </c>
      <c r="O117" s="335">
        <f>2096.2+47492+1200+19.8+1116.2+550+3402+2000+150+1046.7+3000</f>
        <v>62072.899999999994</v>
      </c>
    </row>
    <row r="118" spans="3:15" ht="35.25">
      <c r="C118" s="284" t="s">
        <v>566</v>
      </c>
      <c r="D118" s="294" t="s">
        <v>641</v>
      </c>
      <c r="E118" s="269" t="s">
        <v>624</v>
      </c>
      <c r="F118" s="271" t="e">
        <f>G118-'[1]черн'!Z150</f>
        <v>#VALUE!</v>
      </c>
      <c r="G118" s="271">
        <f>3620.7+665.7</f>
        <v>4286.4</v>
      </c>
      <c r="K118" s="316">
        <f>K119+K121+K123+K125</f>
        <v>452947.80000000016</v>
      </c>
      <c r="L118" s="315"/>
      <c r="M118" s="315"/>
      <c r="N118" s="329">
        <f t="shared" si="1"/>
        <v>72215.50000000017</v>
      </c>
      <c r="O118" s="335">
        <f>O119+O121+O123+O125</f>
        <v>380732.3</v>
      </c>
    </row>
    <row r="119" spans="3:15" ht="54">
      <c r="C119" s="284" t="s">
        <v>566</v>
      </c>
      <c r="D119" s="294" t="s">
        <v>658</v>
      </c>
      <c r="E119" s="267" t="s">
        <v>625</v>
      </c>
      <c r="F119" s="271" t="e">
        <f>G119-'[1]черн'!Z151</f>
        <v>#REF!</v>
      </c>
      <c r="G119" s="271" t="e">
        <f>#REF!+#REF!+#REF!+#REF!+#REF!</f>
        <v>#REF!</v>
      </c>
      <c r="K119" s="316">
        <f>K120</f>
        <v>446272.2000000001</v>
      </c>
      <c r="L119" s="315"/>
      <c r="M119" s="315"/>
      <c r="N119" s="329">
        <f t="shared" si="1"/>
        <v>72692.20000000013</v>
      </c>
      <c r="O119" s="335">
        <v>373580</v>
      </c>
    </row>
    <row r="120" spans="3:15" ht="54">
      <c r="C120" s="284" t="s">
        <v>566</v>
      </c>
      <c r="D120" s="294" t="s">
        <v>640</v>
      </c>
      <c r="E120" s="267" t="s">
        <v>408</v>
      </c>
      <c r="F120" s="271" t="e">
        <f>G120-'[1]черн'!Y152</f>
        <v>#VALUE!</v>
      </c>
      <c r="G120" s="271" t="s">
        <v>388</v>
      </c>
      <c r="K120" s="316">
        <f>390057.4+2938.2+286+284.4+4827.7+64.9+107.2+3366.6+1040.7+17850.6+24881.3+102.9+396.9+67.4</f>
        <v>446272.2000000001</v>
      </c>
      <c r="L120" s="315"/>
      <c r="M120" s="315"/>
      <c r="N120" s="329">
        <f t="shared" si="1"/>
        <v>72692.20000000013</v>
      </c>
      <c r="O120" s="335">
        <v>373580</v>
      </c>
    </row>
    <row r="121" spans="3:15" ht="108">
      <c r="C121" s="284" t="s">
        <v>566</v>
      </c>
      <c r="D121" s="294" t="s">
        <v>649</v>
      </c>
      <c r="E121" s="267" t="s">
        <v>626</v>
      </c>
      <c r="F121" s="271" t="e">
        <f>G121-'[1]черн'!Y154</f>
        <v>#VALUE!</v>
      </c>
      <c r="G121" s="271"/>
      <c r="K121" s="316">
        <f>K122</f>
        <v>4660.9</v>
      </c>
      <c r="L121" s="315"/>
      <c r="M121" s="315"/>
      <c r="N121" s="329">
        <f t="shared" si="1"/>
        <v>1451.9999999999995</v>
      </c>
      <c r="O121" s="335">
        <v>3208.9</v>
      </c>
    </row>
    <row r="122" spans="3:15" ht="108">
      <c r="C122" s="284" t="s">
        <v>566</v>
      </c>
      <c r="D122" s="294" t="s">
        <v>650</v>
      </c>
      <c r="E122" s="267" t="s">
        <v>627</v>
      </c>
      <c r="F122" s="271" t="e">
        <f>G122-'[1]черн'!Y155</f>
        <v>#VALUE!</v>
      </c>
      <c r="G122" s="271"/>
      <c r="K122" s="316">
        <v>4660.9</v>
      </c>
      <c r="L122" s="315"/>
      <c r="M122" s="315"/>
      <c r="N122" s="329">
        <f t="shared" si="1"/>
        <v>1451.9999999999995</v>
      </c>
      <c r="O122" s="335">
        <v>3208.9</v>
      </c>
    </row>
    <row r="123" spans="3:15" ht="72">
      <c r="C123" s="284" t="s">
        <v>566</v>
      </c>
      <c r="D123" s="300" t="s">
        <v>778</v>
      </c>
      <c r="E123" s="267" t="s">
        <v>629</v>
      </c>
      <c r="F123" s="271"/>
      <c r="G123" s="271"/>
      <c r="K123" s="316">
        <v>4.8</v>
      </c>
      <c r="L123" s="315"/>
      <c r="M123" s="315"/>
      <c r="N123" s="329">
        <f t="shared" si="1"/>
        <v>3.5</v>
      </c>
      <c r="O123" s="335">
        <v>1.3</v>
      </c>
    </row>
    <row r="124" spans="3:15" ht="89.25" customHeight="1">
      <c r="C124" s="284" t="s">
        <v>566</v>
      </c>
      <c r="D124" s="300" t="s">
        <v>652</v>
      </c>
      <c r="E124" s="267" t="s">
        <v>628</v>
      </c>
      <c r="F124" s="271"/>
      <c r="G124" s="271"/>
      <c r="K124" s="316">
        <v>4.8</v>
      </c>
      <c r="L124" s="315"/>
      <c r="M124" s="315"/>
      <c r="N124" s="329">
        <f t="shared" si="1"/>
        <v>3.5</v>
      </c>
      <c r="O124" s="335">
        <v>1.3</v>
      </c>
    </row>
    <row r="125" spans="3:15" ht="89.25" customHeight="1">
      <c r="C125" s="284" t="s">
        <v>566</v>
      </c>
      <c r="D125" s="300" t="s">
        <v>749</v>
      </c>
      <c r="E125" s="267" t="s">
        <v>746</v>
      </c>
      <c r="F125" s="271"/>
      <c r="G125" s="271"/>
      <c r="K125" s="316">
        <v>2009.9</v>
      </c>
      <c r="L125" s="315"/>
      <c r="M125" s="315"/>
      <c r="N125" s="329">
        <f t="shared" si="1"/>
        <v>-1932.1999999999998</v>
      </c>
      <c r="O125" s="335">
        <v>3942.1</v>
      </c>
    </row>
    <row r="126" spans="3:15" ht="89.25" customHeight="1">
      <c r="C126" s="284" t="s">
        <v>566</v>
      </c>
      <c r="D126" s="300" t="s">
        <v>748</v>
      </c>
      <c r="E126" s="267" t="s">
        <v>747</v>
      </c>
      <c r="F126" s="271"/>
      <c r="G126" s="271"/>
      <c r="K126" s="316">
        <v>2009.9</v>
      </c>
      <c r="L126" s="315"/>
      <c r="M126" s="315"/>
      <c r="N126" s="329">
        <f t="shared" si="1"/>
        <v>-1932.1999999999998</v>
      </c>
      <c r="O126" s="335">
        <v>3942.1</v>
      </c>
    </row>
    <row r="127" spans="3:15" ht="31.5" customHeight="1">
      <c r="C127" s="284" t="s">
        <v>566</v>
      </c>
      <c r="D127" s="300" t="s">
        <v>655</v>
      </c>
      <c r="E127" s="267" t="s">
        <v>438</v>
      </c>
      <c r="F127" s="271"/>
      <c r="G127" s="271"/>
      <c r="K127" s="316">
        <f>K128+K130+K132</f>
        <v>28916.399999999998</v>
      </c>
      <c r="L127" s="315"/>
      <c r="M127" s="315"/>
      <c r="N127" s="329">
        <f t="shared" si="1"/>
        <v>-77310.2</v>
      </c>
      <c r="O127" s="335">
        <f>O128+O130</f>
        <v>106226.59999999999</v>
      </c>
    </row>
    <row r="128" spans="3:15" ht="91.5" customHeight="1">
      <c r="C128" s="284" t="s">
        <v>566</v>
      </c>
      <c r="D128" s="300" t="s">
        <v>714</v>
      </c>
      <c r="E128" s="267" t="s">
        <v>712</v>
      </c>
      <c r="F128" s="271"/>
      <c r="G128" s="271"/>
      <c r="K128" s="316">
        <v>25682.3</v>
      </c>
      <c r="L128" s="315"/>
      <c r="M128" s="315"/>
      <c r="N128" s="329">
        <f t="shared" si="1"/>
        <v>92.09999999999854</v>
      </c>
      <c r="O128" s="335">
        <v>25590.2</v>
      </c>
    </row>
    <row r="129" spans="3:15" ht="99" customHeight="1">
      <c r="C129" s="284" t="s">
        <v>566</v>
      </c>
      <c r="D129" s="300" t="s">
        <v>715</v>
      </c>
      <c r="E129" s="267" t="s">
        <v>713</v>
      </c>
      <c r="F129" s="271"/>
      <c r="G129" s="271"/>
      <c r="K129" s="316">
        <v>25682.3</v>
      </c>
      <c r="L129" s="315"/>
      <c r="M129" s="315"/>
      <c r="N129" s="329">
        <f t="shared" si="1"/>
        <v>92.09999999999854</v>
      </c>
      <c r="O129" s="335">
        <v>25590.2</v>
      </c>
    </row>
    <row r="130" spans="3:15" ht="90">
      <c r="C130" s="284" t="s">
        <v>566</v>
      </c>
      <c r="D130" s="300" t="s">
        <v>657</v>
      </c>
      <c r="E130" s="267" t="s">
        <v>654</v>
      </c>
      <c r="F130" s="271"/>
      <c r="G130" s="271"/>
      <c r="K130" s="316">
        <v>0</v>
      </c>
      <c r="L130" s="315"/>
      <c r="M130" s="315"/>
      <c r="N130" s="329">
        <f t="shared" si="1"/>
        <v>-80636.4</v>
      </c>
      <c r="O130" s="335">
        <v>80636.4</v>
      </c>
    </row>
    <row r="131" spans="3:15" ht="93" customHeight="1">
      <c r="C131" s="284" t="s">
        <v>566</v>
      </c>
      <c r="D131" s="300" t="s">
        <v>656</v>
      </c>
      <c r="E131" s="267" t="s">
        <v>653</v>
      </c>
      <c r="F131" s="271"/>
      <c r="G131" s="271"/>
      <c r="K131" s="316">
        <v>0</v>
      </c>
      <c r="L131" s="315"/>
      <c r="M131" s="315"/>
      <c r="N131" s="329">
        <f t="shared" si="1"/>
        <v>-80636.4</v>
      </c>
      <c r="O131" s="335">
        <v>80636.4</v>
      </c>
    </row>
    <row r="132" spans="3:15" ht="51.75" customHeight="1">
      <c r="C132" s="284" t="s">
        <v>566</v>
      </c>
      <c r="D132" s="300" t="s">
        <v>783</v>
      </c>
      <c r="E132" s="267" t="s">
        <v>781</v>
      </c>
      <c r="F132" s="271"/>
      <c r="G132" s="271"/>
      <c r="K132" s="316">
        <v>3234.1</v>
      </c>
      <c r="L132" s="315"/>
      <c r="M132" s="315"/>
      <c r="N132" s="329">
        <f t="shared" si="1"/>
        <v>3234.1</v>
      </c>
      <c r="O132" s="335"/>
    </row>
    <row r="133" spans="3:15" ht="48" customHeight="1">
      <c r="C133" s="284" t="s">
        <v>566</v>
      </c>
      <c r="D133" s="300" t="s">
        <v>784</v>
      </c>
      <c r="E133" s="267" t="s">
        <v>782</v>
      </c>
      <c r="F133" s="271"/>
      <c r="G133" s="271"/>
      <c r="K133" s="316">
        <v>3234.1</v>
      </c>
      <c r="L133" s="315"/>
      <c r="M133" s="315"/>
      <c r="N133" s="329">
        <f t="shared" si="1"/>
        <v>3234.1</v>
      </c>
      <c r="O133" s="335"/>
    </row>
    <row r="134" spans="3:15" ht="26.25" customHeight="1">
      <c r="C134" s="284"/>
      <c r="D134" s="293"/>
      <c r="E134" s="269" t="s">
        <v>258</v>
      </c>
      <c r="F134" s="271" t="e">
        <f>G134-черн!Z228</f>
        <v>#REF!</v>
      </c>
      <c r="G134" s="271" t="e">
        <f>G10+G92</f>
        <v>#REF!</v>
      </c>
      <c r="K134" s="316">
        <f>K10+K92</f>
        <v>1001804.2900000003</v>
      </c>
      <c r="L134" s="315"/>
      <c r="M134" s="315"/>
      <c r="N134" s="329">
        <f t="shared" si="1"/>
        <v>-56194.91999999969</v>
      </c>
      <c r="O134" s="335">
        <f>O10+O92</f>
        <v>1057999.21</v>
      </c>
    </row>
    <row r="135" spans="3:14" ht="52.5" hidden="1">
      <c r="C135" s="284"/>
      <c r="D135" s="293"/>
      <c r="E135" s="269" t="s">
        <v>508</v>
      </c>
      <c r="F135" s="271" t="e">
        <f>G135-черн!Z229</f>
        <v>#REF!</v>
      </c>
      <c r="G135" s="271" t="e">
        <f>G10</f>
        <v>#REF!</v>
      </c>
      <c r="K135" s="314">
        <f>K10</f>
        <v>118795.79</v>
      </c>
      <c r="N135" s="329">
        <f t="shared" si="1"/>
        <v>118795.79</v>
      </c>
    </row>
    <row r="136" spans="3:7" ht="18">
      <c r="C136" s="287"/>
      <c r="D136" s="301"/>
      <c r="E136" s="279"/>
      <c r="F136" s="280" t="e">
        <f>F134+#REF!</f>
        <v>#REF!</v>
      </c>
      <c r="G136" s="148"/>
    </row>
    <row r="137" spans="3:7" ht="18">
      <c r="C137" s="287"/>
      <c r="D137" s="301"/>
      <c r="E137" s="279"/>
      <c r="F137" s="281">
        <v>2323.85</v>
      </c>
      <c r="G137" s="148"/>
    </row>
    <row r="138" spans="3:15" ht="18">
      <c r="C138" s="287"/>
      <c r="D138" s="301"/>
      <c r="E138" s="279"/>
      <c r="F138" s="280" t="e">
        <f>F134+F137</f>
        <v>#REF!</v>
      </c>
      <c r="G138" s="148"/>
      <c r="K138" s="318"/>
      <c r="L138" s="148"/>
      <c r="M138" s="148"/>
      <c r="O138" s="332"/>
    </row>
    <row r="139" spans="3:15" ht="18">
      <c r="C139" s="287"/>
      <c r="D139" s="301"/>
      <c r="E139" s="279"/>
      <c r="F139" s="280" t="e">
        <f>#REF!/F135*100</f>
        <v>#REF!</v>
      </c>
      <c r="G139" s="148"/>
      <c r="K139" s="318"/>
      <c r="L139" s="148"/>
      <c r="M139" s="148"/>
      <c r="O139" s="332"/>
    </row>
    <row r="140" spans="3:15" ht="18">
      <c r="C140" s="287"/>
      <c r="D140" s="302"/>
      <c r="E140" s="282"/>
      <c r="F140" s="281" t="e">
        <f>F137/F135*100</f>
        <v>#REF!</v>
      </c>
      <c r="G140" s="148"/>
      <c r="K140" s="318"/>
      <c r="L140" s="318"/>
      <c r="M140" s="318"/>
      <c r="O140" s="333"/>
    </row>
    <row r="141" spans="3:7" ht="18">
      <c r="C141" s="287"/>
      <c r="D141" s="302"/>
      <c r="E141" s="283"/>
      <c r="F141" s="281"/>
      <c r="G141" s="148"/>
    </row>
    <row r="142" spans="3:7" ht="18">
      <c r="C142" s="287"/>
      <c r="D142" s="302"/>
      <c r="E142" s="283"/>
      <c r="F142" s="281"/>
      <c r="G142" s="148"/>
    </row>
    <row r="143" spans="3:7" ht="18">
      <c r="C143" s="287"/>
      <c r="D143" s="302"/>
      <c r="E143" s="282"/>
      <c r="F143" s="281"/>
      <c r="G143" s="148"/>
    </row>
    <row r="144" spans="3:7" ht="18">
      <c r="C144" s="287"/>
      <c r="D144" s="302"/>
      <c r="E144" s="282"/>
      <c r="F144" s="281"/>
      <c r="G144" s="148"/>
    </row>
    <row r="145" spans="3:7" ht="18">
      <c r="C145" s="287"/>
      <c r="D145" s="303"/>
      <c r="E145" s="282"/>
      <c r="F145" s="281"/>
      <c r="G145" s="148"/>
    </row>
    <row r="146" spans="3:7" ht="18">
      <c r="C146" s="287"/>
      <c r="D146" s="302"/>
      <c r="E146" s="282"/>
      <c r="F146" s="281"/>
      <c r="G146" s="148"/>
    </row>
    <row r="147" spans="3:7" ht="18">
      <c r="C147" s="287"/>
      <c r="D147" s="302"/>
      <c r="E147" s="282"/>
      <c r="F147" s="281"/>
      <c r="G147" s="148"/>
    </row>
    <row r="148" spans="3:7" ht="18">
      <c r="C148" s="287"/>
      <c r="D148" s="303"/>
      <c r="E148" s="282"/>
      <c r="F148" s="281"/>
      <c r="G148" s="148"/>
    </row>
    <row r="149" spans="3:7" ht="18">
      <c r="C149" s="287"/>
      <c r="D149" s="301"/>
      <c r="E149" s="279"/>
      <c r="F149" s="281"/>
      <c r="G149" s="148"/>
    </row>
    <row r="150" spans="3:7" ht="18">
      <c r="C150" s="287"/>
      <c r="D150" s="301"/>
      <c r="E150" s="279"/>
      <c r="F150" s="281"/>
      <c r="G150" s="148"/>
    </row>
    <row r="151" spans="3:7" ht="18">
      <c r="C151" s="287"/>
      <c r="D151" s="301"/>
      <c r="E151" s="279"/>
      <c r="F151" s="281"/>
      <c r="G151" s="148"/>
    </row>
    <row r="152" spans="3:7" ht="18">
      <c r="C152" s="287"/>
      <c r="D152" s="301"/>
      <c r="E152" s="279"/>
      <c r="F152" s="281"/>
      <c r="G152" s="148"/>
    </row>
    <row r="153" spans="3:7" ht="18">
      <c r="C153" s="287"/>
      <c r="D153" s="301"/>
      <c r="E153" s="279"/>
      <c r="F153" s="281"/>
      <c r="G153" s="148"/>
    </row>
    <row r="154" spans="3:7" ht="18">
      <c r="C154" s="287"/>
      <c r="D154" s="301"/>
      <c r="E154" s="279"/>
      <c r="F154" s="281"/>
      <c r="G154" s="148"/>
    </row>
    <row r="155" spans="3:7" ht="18">
      <c r="C155" s="287"/>
      <c r="D155" s="301"/>
      <c r="E155" s="279"/>
      <c r="F155" s="281"/>
      <c r="G155" s="148"/>
    </row>
    <row r="156" spans="3:7" ht="18">
      <c r="C156" s="287"/>
      <c r="D156" s="301"/>
      <c r="E156" s="279"/>
      <c r="F156" s="281"/>
      <c r="G156" s="148"/>
    </row>
    <row r="157" spans="3:7" ht="18">
      <c r="C157" s="287"/>
      <c r="D157" s="301"/>
      <c r="E157" s="279"/>
      <c r="F157" s="281"/>
      <c r="G157" s="148"/>
    </row>
    <row r="158" spans="3:7" ht="18">
      <c r="C158" s="287"/>
      <c r="D158" s="301"/>
      <c r="E158" s="279"/>
      <c r="F158" s="281"/>
      <c r="G158" s="148"/>
    </row>
    <row r="159" spans="3:7" ht="18">
      <c r="C159" s="287"/>
      <c r="D159" s="301"/>
      <c r="E159" s="279"/>
      <c r="F159" s="281"/>
      <c r="G159" s="148"/>
    </row>
    <row r="160" spans="3:7" ht="18">
      <c r="C160" s="287"/>
      <c r="D160" s="301"/>
      <c r="E160" s="279"/>
      <c r="F160" s="281"/>
      <c r="G160" s="148"/>
    </row>
    <row r="161" spans="3:7" ht="18">
      <c r="C161" s="287"/>
      <c r="D161" s="301"/>
      <c r="E161" s="279"/>
      <c r="F161" s="281"/>
      <c r="G161" s="148"/>
    </row>
    <row r="162" spans="3:7" ht="18">
      <c r="C162" s="287"/>
      <c r="D162" s="301"/>
      <c r="E162" s="279"/>
      <c r="F162" s="281"/>
      <c r="G162" s="148"/>
    </row>
    <row r="163" spans="3:7" ht="18">
      <c r="C163" s="287"/>
      <c r="D163" s="301"/>
      <c r="E163" s="279"/>
      <c r="F163" s="281"/>
      <c r="G163" s="148"/>
    </row>
    <row r="164" spans="3:7" ht="18">
      <c r="C164" s="287"/>
      <c r="D164" s="301"/>
      <c r="E164" s="279"/>
      <c r="F164" s="281"/>
      <c r="G164" s="148"/>
    </row>
    <row r="165" spans="3:7" ht="18">
      <c r="C165" s="287"/>
      <c r="D165" s="301"/>
      <c r="E165" s="279"/>
      <c r="F165" s="281"/>
      <c r="G165" s="148"/>
    </row>
    <row r="166" spans="3:7" ht="18">
      <c r="C166" s="287"/>
      <c r="D166" s="301"/>
      <c r="E166" s="279"/>
      <c r="F166" s="281"/>
      <c r="G166" s="148"/>
    </row>
    <row r="167" spans="3:7" ht="18">
      <c r="C167" s="287"/>
      <c r="D167" s="152"/>
      <c r="E167" s="279"/>
      <c r="F167" s="281"/>
      <c r="G167" s="148"/>
    </row>
    <row r="168" spans="3:7" ht="18">
      <c r="C168" s="287"/>
      <c r="D168" s="152"/>
      <c r="E168" s="279"/>
      <c r="F168" s="281"/>
      <c r="G168" s="148"/>
    </row>
    <row r="169" spans="3:7" ht="18">
      <c r="C169" s="287"/>
      <c r="D169" s="152"/>
      <c r="E169" s="279"/>
      <c r="F169" s="281"/>
      <c r="G169" s="148"/>
    </row>
    <row r="170" spans="3:7" ht="18">
      <c r="C170" s="287"/>
      <c r="D170" s="152"/>
      <c r="E170" s="279"/>
      <c r="F170" s="281"/>
      <c r="G170" s="148"/>
    </row>
    <row r="171" spans="3:7" ht="18">
      <c r="C171" s="287"/>
      <c r="D171" s="152"/>
      <c r="E171" s="279"/>
      <c r="F171" s="281"/>
      <c r="G171" s="148"/>
    </row>
    <row r="172" spans="3:7" ht="18">
      <c r="C172" s="287"/>
      <c r="D172" s="152"/>
      <c r="E172" s="279"/>
      <c r="F172" s="281"/>
      <c r="G172" s="148"/>
    </row>
    <row r="173" spans="3:7" ht="18">
      <c r="C173" s="287"/>
      <c r="D173" s="152"/>
      <c r="E173" s="279"/>
      <c r="F173" s="281"/>
      <c r="G173" s="148"/>
    </row>
    <row r="174" spans="3:7" ht="18">
      <c r="C174" s="287"/>
      <c r="D174" s="152"/>
      <c r="E174" s="279"/>
      <c r="F174" s="281"/>
      <c r="G174" s="148"/>
    </row>
    <row r="175" spans="3:7" ht="18">
      <c r="C175" s="287"/>
      <c r="D175" s="152"/>
      <c r="E175" s="279"/>
      <c r="F175" s="281"/>
      <c r="G175" s="148"/>
    </row>
    <row r="176" spans="3:7" ht="18">
      <c r="C176" s="287"/>
      <c r="D176" s="152"/>
      <c r="E176" s="279"/>
      <c r="F176" s="281"/>
      <c r="G176" s="148"/>
    </row>
    <row r="177" spans="3:7" ht="18">
      <c r="C177" s="287"/>
      <c r="D177" s="152"/>
      <c r="E177" s="279"/>
      <c r="F177" s="281"/>
      <c r="G177" s="148"/>
    </row>
    <row r="178" spans="3:7" ht="18">
      <c r="C178" s="287"/>
      <c r="D178" s="152"/>
      <c r="E178" s="279"/>
      <c r="F178" s="281"/>
      <c r="G178" s="148"/>
    </row>
    <row r="179" spans="3:7" ht="18">
      <c r="C179" s="287"/>
      <c r="D179" s="152"/>
      <c r="E179" s="279"/>
      <c r="F179" s="281"/>
      <c r="G179" s="148"/>
    </row>
    <row r="180" spans="3:7" ht="18">
      <c r="C180" s="287"/>
      <c r="D180" s="152"/>
      <c r="E180" s="279"/>
      <c r="F180" s="281"/>
      <c r="G180" s="148"/>
    </row>
    <row r="181" spans="3:7" ht="18">
      <c r="C181" s="287"/>
      <c r="D181" s="152"/>
      <c r="E181" s="279"/>
      <c r="F181" s="281"/>
      <c r="G181" s="148"/>
    </row>
    <row r="182" spans="3:7" ht="18">
      <c r="C182" s="287"/>
      <c r="D182" s="152"/>
      <c r="E182" s="279"/>
      <c r="F182" s="281"/>
      <c r="G182" s="148"/>
    </row>
    <row r="183" spans="3:7" ht="18">
      <c r="C183" s="287"/>
      <c r="D183" s="152"/>
      <c r="E183" s="279"/>
      <c r="F183" s="281"/>
      <c r="G183" s="148"/>
    </row>
    <row r="184" spans="3:7" ht="18">
      <c r="C184" s="287"/>
      <c r="D184" s="152"/>
      <c r="E184" s="279"/>
      <c r="F184" s="281"/>
      <c r="G184" s="148"/>
    </row>
    <row r="185" spans="3:7" ht="18">
      <c r="C185" s="287"/>
      <c r="D185" s="152"/>
      <c r="E185" s="279"/>
      <c r="F185" s="281"/>
      <c r="G185" s="148"/>
    </row>
    <row r="186" spans="3:7" ht="18">
      <c r="C186" s="287"/>
      <c r="D186" s="152"/>
      <c r="E186" s="279"/>
      <c r="F186" s="281"/>
      <c r="G186" s="148"/>
    </row>
    <row r="187" spans="3:7" ht="18">
      <c r="C187" s="287"/>
      <c r="D187" s="152"/>
      <c r="E187" s="279"/>
      <c r="F187" s="281"/>
      <c r="G187" s="148"/>
    </row>
    <row r="188" spans="3:7" ht="18">
      <c r="C188" s="287"/>
      <c r="D188" s="152"/>
      <c r="E188" s="279"/>
      <c r="F188" s="281"/>
      <c r="G188" s="148"/>
    </row>
    <row r="189" spans="3:7" ht="18">
      <c r="C189" s="287"/>
      <c r="D189" s="152"/>
      <c r="E189" s="279"/>
      <c r="F189" s="281"/>
      <c r="G189" s="148"/>
    </row>
    <row r="190" spans="3:7" ht="18">
      <c r="C190" s="287"/>
      <c r="D190" s="152"/>
      <c r="E190" s="279"/>
      <c r="F190" s="281"/>
      <c r="G190" s="148"/>
    </row>
    <row r="191" spans="3:7" ht="18">
      <c r="C191" s="287"/>
      <c r="D191" s="152"/>
      <c r="E191" s="279"/>
      <c r="F191" s="281"/>
      <c r="G191" s="148"/>
    </row>
    <row r="192" spans="3:7" ht="18">
      <c r="C192" s="287"/>
      <c r="D192" s="152"/>
      <c r="E192" s="279"/>
      <c r="F192" s="281"/>
      <c r="G192" s="148"/>
    </row>
    <row r="193" spans="3:7" ht="18">
      <c r="C193" s="287"/>
      <c r="D193" s="152"/>
      <c r="E193" s="279"/>
      <c r="F193" s="281"/>
      <c r="G193" s="148"/>
    </row>
    <row r="194" spans="3:7" ht="18">
      <c r="C194" s="287"/>
      <c r="D194" s="152"/>
      <c r="E194" s="279"/>
      <c r="F194" s="281"/>
      <c r="G194" s="148"/>
    </row>
    <row r="195" spans="3:7" ht="18">
      <c r="C195" s="287"/>
      <c r="D195" s="152"/>
      <c r="E195" s="279"/>
      <c r="F195" s="281"/>
      <c r="G195" s="148"/>
    </row>
    <row r="196" spans="3:7" ht="18">
      <c r="C196" s="287"/>
      <c r="D196" s="152"/>
      <c r="E196" s="279"/>
      <c r="F196" s="281"/>
      <c r="G196" s="148"/>
    </row>
    <row r="197" spans="3:7" ht="18">
      <c r="C197" s="287"/>
      <c r="D197" s="152"/>
      <c r="E197" s="279"/>
      <c r="F197" s="281"/>
      <c r="G197" s="148"/>
    </row>
    <row r="198" spans="3:7" ht="18">
      <c r="C198" s="287"/>
      <c r="D198" s="152"/>
      <c r="E198" s="279"/>
      <c r="F198" s="281"/>
      <c r="G198" s="148"/>
    </row>
    <row r="199" spans="3:7" ht="18">
      <c r="C199" s="287"/>
      <c r="D199" s="152"/>
      <c r="E199" s="279"/>
      <c r="F199" s="281"/>
      <c r="G199" s="148"/>
    </row>
    <row r="200" spans="3:7" ht="18">
      <c r="C200" s="287"/>
      <c r="D200" s="152"/>
      <c r="E200" s="279"/>
      <c r="F200" s="281"/>
      <c r="G200" s="148"/>
    </row>
    <row r="201" spans="3:7" ht="18">
      <c r="C201" s="287"/>
      <c r="D201" s="152"/>
      <c r="E201" s="279"/>
      <c r="F201" s="148"/>
      <c r="G201" s="148"/>
    </row>
    <row r="202" spans="3:7" ht="18">
      <c r="C202" s="287"/>
      <c r="D202" s="152"/>
      <c r="E202" s="279"/>
      <c r="F202" s="148"/>
      <c r="G202" s="148"/>
    </row>
    <row r="203" spans="3:7" ht="18">
      <c r="C203" s="287"/>
      <c r="D203" s="152"/>
      <c r="E203" s="279"/>
      <c r="F203" s="148"/>
      <c r="G203" s="148"/>
    </row>
    <row r="204" spans="3:7" ht="18">
      <c r="C204" s="287"/>
      <c r="D204" s="152"/>
      <c r="E204" s="279"/>
      <c r="F204" s="148"/>
      <c r="G204" s="148"/>
    </row>
    <row r="205" spans="3:7" ht="18">
      <c r="C205" s="287"/>
      <c r="D205" s="152"/>
      <c r="E205" s="279"/>
      <c r="F205" s="148"/>
      <c r="G205" s="148"/>
    </row>
    <row r="206" spans="3:7" ht="18">
      <c r="C206" s="287"/>
      <c r="D206" s="152"/>
      <c r="E206" s="279"/>
      <c r="F206" s="148"/>
      <c r="G206" s="148"/>
    </row>
    <row r="207" spans="3:7" ht="18">
      <c r="C207" s="287"/>
      <c r="D207" s="152"/>
      <c r="E207" s="279"/>
      <c r="F207" s="148"/>
      <c r="G207" s="148"/>
    </row>
    <row r="208" spans="3:7" ht="18">
      <c r="C208" s="287"/>
      <c r="D208" s="152"/>
      <c r="E208" s="279"/>
      <c r="F208" s="148"/>
      <c r="G208" s="148"/>
    </row>
    <row r="209" spans="3:7" ht="18">
      <c r="C209" s="287"/>
      <c r="D209" s="152"/>
      <c r="E209" s="279"/>
      <c r="F209" s="148"/>
      <c r="G209" s="148"/>
    </row>
    <row r="210" spans="3:7" ht="18">
      <c r="C210" s="287"/>
      <c r="D210" s="152"/>
      <c r="E210" s="279"/>
      <c r="F210" s="148"/>
      <c r="G210" s="148"/>
    </row>
    <row r="211" spans="3:7" ht="18">
      <c r="C211" s="287"/>
      <c r="D211" s="152"/>
      <c r="E211" s="279"/>
      <c r="F211" s="148"/>
      <c r="G211" s="148"/>
    </row>
    <row r="212" spans="3:7" ht="18">
      <c r="C212" s="287"/>
      <c r="D212" s="152"/>
      <c r="E212" s="279"/>
      <c r="F212" s="148"/>
      <c r="G212" s="148"/>
    </row>
    <row r="213" spans="3:7" ht="18">
      <c r="C213" s="287"/>
      <c r="D213" s="152"/>
      <c r="E213" s="279"/>
      <c r="F213" s="148"/>
      <c r="G213" s="148"/>
    </row>
    <row r="214" spans="3:7" ht="18">
      <c r="C214" s="287"/>
      <c r="D214" s="152"/>
      <c r="E214" s="279"/>
      <c r="F214" s="148"/>
      <c r="G214" s="148"/>
    </row>
    <row r="215" spans="3:7" ht="18">
      <c r="C215" s="287"/>
      <c r="D215" s="152"/>
      <c r="E215" s="279"/>
      <c r="F215" s="148"/>
      <c r="G215" s="148"/>
    </row>
    <row r="216" spans="3:7" ht="18">
      <c r="C216" s="287"/>
      <c r="D216" s="152"/>
      <c r="E216" s="279"/>
      <c r="F216" s="148"/>
      <c r="G216" s="148"/>
    </row>
    <row r="217" spans="3:7" ht="18">
      <c r="C217" s="287"/>
      <c r="D217" s="152"/>
      <c r="E217" s="279"/>
      <c r="F217" s="148"/>
      <c r="G217" s="148"/>
    </row>
    <row r="218" spans="3:7" ht="18">
      <c r="C218" s="287"/>
      <c r="D218" s="152"/>
      <c r="E218" s="279"/>
      <c r="F218" s="148"/>
      <c r="G218" s="148"/>
    </row>
    <row r="219" spans="3:7" ht="18">
      <c r="C219" s="287"/>
      <c r="D219" s="152"/>
      <c r="E219" s="279"/>
      <c r="F219" s="148"/>
      <c r="G219" s="148"/>
    </row>
    <row r="220" spans="3:7" ht="18">
      <c r="C220" s="287"/>
      <c r="D220" s="152"/>
      <c r="E220" s="279"/>
      <c r="F220" s="148"/>
      <c r="G220" s="148"/>
    </row>
    <row r="221" spans="3:7" ht="18">
      <c r="C221" s="287"/>
      <c r="D221" s="152"/>
      <c r="E221" s="279"/>
      <c r="F221" s="148"/>
      <c r="G221" s="148"/>
    </row>
    <row r="222" spans="3:7" ht="18">
      <c r="C222" s="287"/>
      <c r="D222" s="152"/>
      <c r="E222" s="279"/>
      <c r="F222" s="148"/>
      <c r="G222" s="148"/>
    </row>
    <row r="223" spans="3:7" ht="18">
      <c r="C223" s="287"/>
      <c r="D223" s="152"/>
      <c r="E223" s="279"/>
      <c r="F223" s="148"/>
      <c r="G223" s="148"/>
    </row>
    <row r="224" spans="3:7" ht="18">
      <c r="C224" s="287"/>
      <c r="D224" s="152"/>
      <c r="E224" s="279"/>
      <c r="F224" s="148"/>
      <c r="G224" s="148"/>
    </row>
    <row r="225" spans="3:7" ht="18">
      <c r="C225" s="287"/>
      <c r="D225" s="152"/>
      <c r="E225" s="279"/>
      <c r="F225" s="148"/>
      <c r="G225" s="148"/>
    </row>
    <row r="226" spans="3:7" ht="18">
      <c r="C226" s="287"/>
      <c r="D226" s="152"/>
      <c r="E226" s="279"/>
      <c r="F226" s="148"/>
      <c r="G226" s="148"/>
    </row>
    <row r="227" spans="3:7" ht="18">
      <c r="C227" s="287"/>
      <c r="D227" s="152"/>
      <c r="E227" s="279"/>
      <c r="F227" s="148"/>
      <c r="G227" s="148"/>
    </row>
    <row r="228" spans="3:7" ht="18">
      <c r="C228" s="287"/>
      <c r="D228" s="152"/>
      <c r="E228" s="279"/>
      <c r="F228" s="148"/>
      <c r="G228" s="148"/>
    </row>
    <row r="229" spans="3:7" ht="18">
      <c r="C229" s="287"/>
      <c r="D229" s="152"/>
      <c r="E229" s="279"/>
      <c r="F229" s="148"/>
      <c r="G229" s="148"/>
    </row>
    <row r="230" ht="18">
      <c r="E230" s="46"/>
    </row>
    <row r="231" ht="18">
      <c r="E231" s="46"/>
    </row>
    <row r="232" ht="18">
      <c r="E232" s="46"/>
    </row>
    <row r="233" ht="18">
      <c r="E233" s="46"/>
    </row>
  </sheetData>
  <sheetProtection/>
  <mergeCells count="10">
    <mergeCell ref="N8:N9"/>
    <mergeCell ref="K1:N2"/>
    <mergeCell ref="C6:K6"/>
    <mergeCell ref="C8:C9"/>
    <mergeCell ref="D8:D9"/>
    <mergeCell ref="E8:E9"/>
    <mergeCell ref="F8:G8"/>
    <mergeCell ref="F1:H1"/>
    <mergeCell ref="I1:J1"/>
    <mergeCell ref="H8:K9"/>
  </mergeCells>
  <printOptions/>
  <pageMargins left="0.5118110236220472" right="0.5118110236220472" top="0.7480314960629921" bottom="0.7480314960629921" header="0.31496062992125984" footer="0.31496062992125984"/>
  <pageSetup fitToHeight="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88"/>
  <sheetViews>
    <sheetView view="pageBreakPreview" zoomScaleSheetLayoutView="100" zoomScalePageLayoutView="0" workbookViewId="0" topLeftCell="A192">
      <selection activeCell="Z29" sqref="Z29"/>
    </sheetView>
  </sheetViews>
  <sheetFormatPr defaultColWidth="9.125" defaultRowHeight="12.75"/>
  <cols>
    <col min="1" max="1" width="52.375" style="49" customWidth="1"/>
    <col min="2" max="2" width="26.50390625" style="47" customWidth="1"/>
    <col min="3" max="3" width="13.50390625" style="49" hidden="1" customWidth="1"/>
    <col min="4" max="4" width="14.50390625" style="49" hidden="1" customWidth="1"/>
    <col min="5" max="5" width="4.375" style="56" hidden="1" customWidth="1"/>
    <col min="6" max="23" width="0" style="56" hidden="1" customWidth="1"/>
    <col min="24" max="24" width="12.125" style="56" hidden="1" customWidth="1"/>
    <col min="25" max="25" width="20.375" style="56" hidden="1" customWidth="1"/>
    <col min="26" max="26" width="20.50390625" style="56" customWidth="1"/>
    <col min="27" max="16384" width="9.125" style="56" customWidth="1"/>
  </cols>
  <sheetData>
    <row r="1" spans="1:26" s="49" customFormat="1" ht="98.25" customHeight="1">
      <c r="A1" s="46"/>
      <c r="D1" s="349"/>
      <c r="E1" s="349"/>
      <c r="X1" s="349" t="s">
        <v>558</v>
      </c>
      <c r="Y1" s="357"/>
      <c r="Z1" s="357"/>
    </row>
    <row r="2" spans="1:5" s="49" customFormat="1" ht="11.25" customHeight="1">
      <c r="A2" s="46"/>
      <c r="B2" s="47"/>
      <c r="C2" s="46"/>
      <c r="D2" s="82"/>
      <c r="E2" s="82"/>
    </row>
    <row r="3" spans="1:5" s="49" customFormat="1" ht="12" customHeight="1" hidden="1">
      <c r="A3" s="46"/>
      <c r="B3" s="47"/>
      <c r="C3" s="46"/>
      <c r="D3" s="82"/>
      <c r="E3" s="82"/>
    </row>
    <row r="4" spans="1:5" s="49" customFormat="1" ht="13.5" customHeight="1">
      <c r="A4" s="46"/>
      <c r="B4" s="47"/>
      <c r="C4" s="46"/>
      <c r="D4" s="82"/>
      <c r="E4" s="82"/>
    </row>
    <row r="5" spans="1:25" s="49" customFormat="1" ht="15">
      <c r="A5" s="347" t="s">
        <v>559</v>
      </c>
      <c r="B5" s="371"/>
      <c r="C5" s="371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7"/>
      <c r="Y5" s="357"/>
    </row>
    <row r="6" spans="1:5" s="49" customFormat="1" ht="15">
      <c r="A6" s="46"/>
      <c r="B6" s="47"/>
      <c r="C6" s="46"/>
      <c r="D6" s="46"/>
      <c r="E6" s="46"/>
    </row>
    <row r="7" spans="1:26" s="53" customFormat="1" ht="49.5" customHeight="1">
      <c r="A7" s="50" t="s">
        <v>521</v>
      </c>
      <c r="B7" s="51" t="s">
        <v>522</v>
      </c>
      <c r="C7" s="50" t="s">
        <v>85</v>
      </c>
      <c r="D7" s="52" t="s">
        <v>393</v>
      </c>
      <c r="E7" s="50" t="s">
        <v>460</v>
      </c>
      <c r="X7" s="50" t="s">
        <v>84</v>
      </c>
      <c r="Y7" s="50" t="s">
        <v>327</v>
      </c>
      <c r="Z7" s="50" t="s">
        <v>560</v>
      </c>
    </row>
    <row r="8" spans="1:28" ht="21.75" customHeight="1">
      <c r="A8" s="54" t="s">
        <v>453</v>
      </c>
      <c r="B8" s="55" t="s">
        <v>523</v>
      </c>
      <c r="C8" s="85" t="e">
        <f>C9+C57</f>
        <v>#REF!</v>
      </c>
      <c r="D8" s="85" t="e">
        <f>D9+D57</f>
        <v>#REF!</v>
      </c>
      <c r="E8" s="85" t="e">
        <f>E9+E57</f>
        <v>#REF!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4">
        <f>X10+X19+X34+X40+X43+X54+X58+X72</f>
        <v>3635</v>
      </c>
      <c r="Y8" s="85" t="e">
        <f>Y10+Y19+Y34+Y40+Y43+Y58+Y66+Y72+Y82+Y100</f>
        <v>#REF!</v>
      </c>
      <c r="Z8" s="85" t="e">
        <f>Z10+Z19+Z34+Z40+Z43+Z58+Z66+Z72+Z82+Z100</f>
        <v>#REF!</v>
      </c>
      <c r="AA8" s="125"/>
      <c r="AB8" s="125"/>
    </row>
    <row r="9" spans="1:26" ht="14.25" customHeight="1" hidden="1">
      <c r="A9" s="57" t="s">
        <v>524</v>
      </c>
      <c r="B9" s="58"/>
      <c r="C9" s="85">
        <f>C10+C19+C34+C40+C43+C54</f>
        <v>6995</v>
      </c>
      <c r="D9" s="85">
        <f>D10+D19+D34+D40+D43+D54</f>
        <v>7410</v>
      </c>
      <c r="E9" s="85">
        <f>E10+E19+E34+E40+E43+E54</f>
        <v>7770</v>
      </c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8"/>
      <c r="Y9" s="85">
        <f>C9+X9</f>
        <v>6995</v>
      </c>
      <c r="Z9" s="85">
        <f>D9+Y9</f>
        <v>14405</v>
      </c>
    </row>
    <row r="10" spans="1:26" ht="18" customHeight="1">
      <c r="A10" s="57" t="s">
        <v>525</v>
      </c>
      <c r="B10" s="55" t="s">
        <v>526</v>
      </c>
      <c r="C10" s="85">
        <f>C11</f>
        <v>0</v>
      </c>
      <c r="D10" s="85">
        <f>D11</f>
        <v>0</v>
      </c>
      <c r="E10" s="85">
        <f>E11</f>
        <v>0</v>
      </c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4">
        <v>2800</v>
      </c>
      <c r="Y10" s="85">
        <f>Y13</f>
        <v>81539.4</v>
      </c>
      <c r="Z10" s="85">
        <f>Z13</f>
        <v>83627.7</v>
      </c>
    </row>
    <row r="11" spans="1:26" ht="15" hidden="1">
      <c r="A11" s="57"/>
      <c r="B11" s="55"/>
      <c r="C11" s="85"/>
      <c r="D11" s="85"/>
      <c r="E11" s="85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4"/>
      <c r="Y11" s="85"/>
      <c r="Z11" s="85"/>
    </row>
    <row r="12" spans="1:26" ht="94.5" customHeight="1" hidden="1">
      <c r="A12" s="81"/>
      <c r="B12" s="58"/>
      <c r="C12" s="85"/>
      <c r="D12" s="85"/>
      <c r="E12" s="85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4"/>
      <c r="Y12" s="85"/>
      <c r="Z12" s="85"/>
    </row>
    <row r="13" spans="1:26" ht="20.25" customHeight="1">
      <c r="A13" s="54" t="s">
        <v>527</v>
      </c>
      <c r="B13" s="58" t="s">
        <v>203</v>
      </c>
      <c r="C13" s="85">
        <f>C14+C15</f>
        <v>47172</v>
      </c>
      <c r="D13" s="85">
        <f>D14+D15</f>
        <v>47310</v>
      </c>
      <c r="E13" s="85">
        <f>E14+E15</f>
        <v>47620</v>
      </c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4">
        <f>X14+X15</f>
        <v>2700</v>
      </c>
      <c r="Y13" s="85">
        <f>Y14+Y15+Y16+Y18</f>
        <v>81539.4</v>
      </c>
      <c r="Z13" s="85">
        <f>Z14+Z15+Z16+Z18</f>
        <v>83627.7</v>
      </c>
    </row>
    <row r="14" spans="1:26" ht="118.5" customHeight="1">
      <c r="A14" s="81" t="s">
        <v>499</v>
      </c>
      <c r="B14" s="58" t="s">
        <v>500</v>
      </c>
      <c r="C14" s="88">
        <v>47072</v>
      </c>
      <c r="D14" s="89">
        <v>47200</v>
      </c>
      <c r="E14" s="88">
        <v>47500</v>
      </c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4">
        <v>2700</v>
      </c>
      <c r="Y14" s="95">
        <f>34924.4+46267</f>
        <v>81191.4</v>
      </c>
      <c r="Z14" s="95">
        <f>46267+37074.8-70.1</f>
        <v>83271.7</v>
      </c>
    </row>
    <row r="15" spans="1:26" ht="111" customHeight="1">
      <c r="A15" s="233" t="s">
        <v>501</v>
      </c>
      <c r="B15" s="58" t="s">
        <v>204</v>
      </c>
      <c r="C15" s="84">
        <v>100</v>
      </c>
      <c r="D15" s="89">
        <v>110</v>
      </c>
      <c r="E15" s="88">
        <v>120</v>
      </c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8"/>
      <c r="Y15" s="95">
        <v>125.5</v>
      </c>
      <c r="Z15" s="95">
        <v>130</v>
      </c>
    </row>
    <row r="16" spans="1:26" ht="62.25">
      <c r="A16" s="69" t="s">
        <v>502</v>
      </c>
      <c r="B16" s="70" t="s">
        <v>205</v>
      </c>
      <c r="C16" s="84">
        <v>90</v>
      </c>
      <c r="D16" s="89">
        <v>100</v>
      </c>
      <c r="E16" s="88">
        <v>110</v>
      </c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4">
        <v>20</v>
      </c>
      <c r="Y16" s="95">
        <v>107.5</v>
      </c>
      <c r="Z16" s="95">
        <v>110</v>
      </c>
    </row>
    <row r="17" spans="1:26" ht="0.75" customHeight="1">
      <c r="A17" s="81"/>
      <c r="B17" s="25"/>
      <c r="C17" s="84"/>
      <c r="D17" s="89"/>
      <c r="E17" s="88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4"/>
      <c r="Y17" s="95"/>
      <c r="Z17" s="95"/>
    </row>
    <row r="18" spans="1:26" ht="121.5" customHeight="1">
      <c r="A18" s="81" t="s">
        <v>556</v>
      </c>
      <c r="B18" s="70" t="s">
        <v>557</v>
      </c>
      <c r="C18" s="84"/>
      <c r="D18" s="89"/>
      <c r="E18" s="88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4"/>
      <c r="Y18" s="95">
        <v>115</v>
      </c>
      <c r="Z18" s="95">
        <v>116</v>
      </c>
    </row>
    <row r="19" spans="1:26" ht="15">
      <c r="A19" s="57" t="s">
        <v>528</v>
      </c>
      <c r="B19" s="55" t="s">
        <v>208</v>
      </c>
      <c r="C19" s="90">
        <f>C20+C28+C31</f>
        <v>4380</v>
      </c>
      <c r="D19" s="90">
        <f>D20+D28+D31</f>
        <v>4660</v>
      </c>
      <c r="E19" s="90">
        <f>E20+E28+E31</f>
        <v>4940</v>
      </c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4">
        <f>X20+X28</f>
        <v>650</v>
      </c>
      <c r="Y19" s="95" t="e">
        <f>Y20+Y28+Y31</f>
        <v>#REF!</v>
      </c>
      <c r="Z19" s="95" t="e">
        <f>Z20+Z28+Z31</f>
        <v>#REF!</v>
      </c>
    </row>
    <row r="20" spans="1:26" ht="30.75">
      <c r="A20" s="57" t="s">
        <v>529</v>
      </c>
      <c r="B20" s="55" t="s">
        <v>209</v>
      </c>
      <c r="C20" s="91">
        <f>C21+C24</f>
        <v>2030</v>
      </c>
      <c r="D20" s="91">
        <f>D21+D24</f>
        <v>2150</v>
      </c>
      <c r="E20" s="91">
        <f>E21+E24</f>
        <v>2270</v>
      </c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4">
        <f>X21+X24</f>
        <v>300</v>
      </c>
      <c r="Y20" s="95" t="e">
        <f>Y21+Y24+Y27</f>
        <v>#REF!</v>
      </c>
      <c r="Z20" s="95" t="e">
        <f>Z21+Z24+Z27</f>
        <v>#REF!</v>
      </c>
    </row>
    <row r="21" spans="1:26" ht="46.5">
      <c r="A21" s="54" t="s">
        <v>530</v>
      </c>
      <c r="B21" s="58" t="s">
        <v>210</v>
      </c>
      <c r="C21" s="117">
        <v>1800</v>
      </c>
      <c r="D21" s="89">
        <v>1900</v>
      </c>
      <c r="E21" s="89">
        <v>2000</v>
      </c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4">
        <v>230</v>
      </c>
      <c r="Y21" s="95" t="e">
        <f>Y22+Y23</f>
        <v>#REF!</v>
      </c>
      <c r="Z21" s="95" t="e">
        <f>Z22+Z23</f>
        <v>#REF!</v>
      </c>
    </row>
    <row r="22" spans="1:26" ht="31.5" customHeight="1">
      <c r="A22" s="54" t="s">
        <v>86</v>
      </c>
      <c r="B22" s="38" t="s">
        <v>87</v>
      </c>
      <c r="C22" s="117">
        <v>1300</v>
      </c>
      <c r="D22" s="89"/>
      <c r="E22" s="89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4">
        <v>230</v>
      </c>
      <c r="Y22" s="95" t="e">
        <f>#REF!*103%</f>
        <v>#REF!</v>
      </c>
      <c r="Z22" s="95" t="e">
        <f aca="true" t="shared" si="0" ref="Z22:Z27">Y22*103.5%</f>
        <v>#REF!</v>
      </c>
    </row>
    <row r="23" spans="1:26" ht="32.25" customHeight="1" hidden="1">
      <c r="A23" s="54"/>
      <c r="B23" s="25"/>
      <c r="C23" s="117">
        <v>500</v>
      </c>
      <c r="D23" s="89"/>
      <c r="E23" s="89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4"/>
      <c r="Y23" s="95" t="e">
        <f>#REF!*103%</f>
        <v>#REF!</v>
      </c>
      <c r="Z23" s="95" t="e">
        <f t="shared" si="0"/>
        <v>#REF!</v>
      </c>
    </row>
    <row r="24" spans="1:26" ht="46.5">
      <c r="A24" s="54" t="s">
        <v>0</v>
      </c>
      <c r="B24" s="58" t="s">
        <v>211</v>
      </c>
      <c r="C24" s="117">
        <v>230</v>
      </c>
      <c r="D24" s="89">
        <v>250</v>
      </c>
      <c r="E24" s="89">
        <v>270</v>
      </c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4">
        <v>70</v>
      </c>
      <c r="Y24" s="95" t="e">
        <f>#REF!*103%</f>
        <v>#REF!</v>
      </c>
      <c r="Z24" s="95" t="e">
        <f t="shared" si="0"/>
        <v>#REF!</v>
      </c>
    </row>
    <row r="25" spans="1:26" ht="62.25" customHeight="1">
      <c r="A25" s="120" t="s">
        <v>0</v>
      </c>
      <c r="B25" s="31" t="s">
        <v>89</v>
      </c>
      <c r="C25" s="117">
        <v>130</v>
      </c>
      <c r="D25" s="89"/>
      <c r="E25" s="89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4">
        <v>70</v>
      </c>
      <c r="Y25" s="95" t="e">
        <f>#REF!*103%</f>
        <v>#REF!</v>
      </c>
      <c r="Z25" s="95" t="e">
        <f t="shared" si="0"/>
        <v>#REF!</v>
      </c>
    </row>
    <row r="26" spans="1:26" ht="0.75" customHeight="1" hidden="1">
      <c r="A26" s="120" t="s">
        <v>88</v>
      </c>
      <c r="B26" s="31" t="s">
        <v>90</v>
      </c>
      <c r="C26" s="117">
        <v>100</v>
      </c>
      <c r="D26" s="89"/>
      <c r="E26" s="89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4"/>
      <c r="Y26" s="95" t="e">
        <f>#REF!*103%</f>
        <v>#REF!</v>
      </c>
      <c r="Z26" s="95" t="e">
        <f t="shared" si="0"/>
        <v>#REF!</v>
      </c>
    </row>
    <row r="27" spans="1:26" ht="37.5" customHeight="1">
      <c r="A27" s="120" t="s">
        <v>206</v>
      </c>
      <c r="B27" s="31" t="s">
        <v>207</v>
      </c>
      <c r="C27" s="117"/>
      <c r="D27" s="89"/>
      <c r="E27" s="89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4"/>
      <c r="Y27" s="95" t="e">
        <f>#REF!*103%</f>
        <v>#REF!</v>
      </c>
      <c r="Z27" s="95" t="e">
        <f t="shared" si="0"/>
        <v>#REF!</v>
      </c>
    </row>
    <row r="28" spans="1:26" ht="30.75">
      <c r="A28" s="57" t="s">
        <v>1</v>
      </c>
      <c r="B28" s="55" t="s">
        <v>212</v>
      </c>
      <c r="C28" s="118">
        <v>2300</v>
      </c>
      <c r="D28" s="92">
        <v>2450</v>
      </c>
      <c r="E28" s="92">
        <v>2600</v>
      </c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121">
        <v>350</v>
      </c>
      <c r="Y28" s="91" t="e">
        <f>Y29+Y30</f>
        <v>#REF!</v>
      </c>
      <c r="Z28" s="91" t="e">
        <f>Z29+Z30</f>
        <v>#REF!</v>
      </c>
    </row>
    <row r="29" spans="1:26" ht="39.75" customHeight="1">
      <c r="A29" s="54" t="s">
        <v>1</v>
      </c>
      <c r="B29" s="58" t="s">
        <v>94</v>
      </c>
      <c r="C29" s="117">
        <v>1400</v>
      </c>
      <c r="D29" s="92"/>
      <c r="E29" s="92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4">
        <v>350</v>
      </c>
      <c r="Y29" s="95" t="e">
        <f>#REF!*103.25%</f>
        <v>#REF!</v>
      </c>
      <c r="Z29" s="95" t="e">
        <f>Y29*103.5/100</f>
        <v>#REF!</v>
      </c>
    </row>
    <row r="30" spans="1:26" ht="46.5" hidden="1">
      <c r="A30" s="81" t="s">
        <v>91</v>
      </c>
      <c r="B30" s="58" t="s">
        <v>93</v>
      </c>
      <c r="C30" s="117">
        <v>900</v>
      </c>
      <c r="D30" s="92"/>
      <c r="E30" s="92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4"/>
      <c r="Y30" s="95" t="e">
        <f>#REF!*103.25%</f>
        <v>#REF!</v>
      </c>
      <c r="Z30" s="95"/>
    </row>
    <row r="31" spans="1:26" ht="15">
      <c r="A31" s="57" t="s">
        <v>2</v>
      </c>
      <c r="B31" s="55" t="s">
        <v>213</v>
      </c>
      <c r="C31" s="118">
        <v>50</v>
      </c>
      <c r="D31" s="92">
        <v>60</v>
      </c>
      <c r="E31" s="92">
        <v>70</v>
      </c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8"/>
      <c r="Y31" s="91">
        <f>Y32+Y33</f>
        <v>13</v>
      </c>
      <c r="Z31" s="91">
        <f>Z32+Z33</f>
        <v>14</v>
      </c>
    </row>
    <row r="32" spans="1:26" ht="24" customHeight="1">
      <c r="A32" s="120" t="s">
        <v>2</v>
      </c>
      <c r="B32" s="31" t="s">
        <v>92</v>
      </c>
      <c r="C32" s="117">
        <v>10</v>
      </c>
      <c r="D32" s="89"/>
      <c r="E32" s="89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8"/>
      <c r="Y32" s="95">
        <v>13</v>
      </c>
      <c r="Z32" s="95">
        <v>14</v>
      </c>
    </row>
    <row r="33" spans="1:26" ht="15" hidden="1">
      <c r="A33" s="120"/>
      <c r="B33" s="31"/>
      <c r="C33" s="117"/>
      <c r="D33" s="89"/>
      <c r="E33" s="89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95"/>
      <c r="Z33" s="95"/>
    </row>
    <row r="34" spans="1:26" ht="15">
      <c r="A34" s="57" t="s">
        <v>3</v>
      </c>
      <c r="B34" s="55" t="s">
        <v>214</v>
      </c>
      <c r="C34" s="91">
        <f>C35+C37</f>
        <v>1745</v>
      </c>
      <c r="D34" s="91">
        <f>D35+D37</f>
        <v>1850</v>
      </c>
      <c r="E34" s="91">
        <f>E35+E37</f>
        <v>1900</v>
      </c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121">
        <v>-545</v>
      </c>
      <c r="Y34" s="91">
        <v>2066.4</v>
      </c>
      <c r="Z34" s="91">
        <f>Z35</f>
        <v>2282.2</v>
      </c>
    </row>
    <row r="35" spans="1:26" ht="20.25" customHeight="1">
      <c r="A35" s="57" t="s">
        <v>4</v>
      </c>
      <c r="B35" s="55" t="s">
        <v>215</v>
      </c>
      <c r="C35" s="91">
        <f>C36</f>
        <v>1745</v>
      </c>
      <c r="D35" s="91">
        <f>D36</f>
        <v>1850</v>
      </c>
      <c r="E35" s="91">
        <f>E36</f>
        <v>1900</v>
      </c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121">
        <v>-545</v>
      </c>
      <c r="Y35" s="91">
        <v>2066.4</v>
      </c>
      <c r="Z35" s="91">
        <f>Z36</f>
        <v>2282.2</v>
      </c>
    </row>
    <row r="36" spans="1:26" ht="29.25" customHeight="1">
      <c r="A36" s="54" t="s">
        <v>5</v>
      </c>
      <c r="B36" s="58" t="s">
        <v>216</v>
      </c>
      <c r="C36" s="89">
        <v>1745</v>
      </c>
      <c r="D36" s="89">
        <v>1850</v>
      </c>
      <c r="E36" s="89">
        <v>1900</v>
      </c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4">
        <v>-545</v>
      </c>
      <c r="Y36" s="95">
        <v>2066.4</v>
      </c>
      <c r="Z36" s="95">
        <v>2282.2</v>
      </c>
    </row>
    <row r="37" spans="1:26" ht="15" hidden="1">
      <c r="A37" s="57"/>
      <c r="B37" s="55"/>
      <c r="C37" s="91"/>
      <c r="D37" s="91"/>
      <c r="E37" s="91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8"/>
      <c r="Y37" s="95">
        <f aca="true" t="shared" si="1" ref="Y37:Z39">C37+X37</f>
        <v>0</v>
      </c>
      <c r="Z37" s="95">
        <f t="shared" si="1"/>
        <v>0</v>
      </c>
    </row>
    <row r="38" spans="1:26" ht="15" hidden="1">
      <c r="A38" s="54"/>
      <c r="B38" s="58"/>
      <c r="C38" s="89"/>
      <c r="D38" s="89"/>
      <c r="E38" s="89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8"/>
      <c r="Y38" s="95">
        <f t="shared" si="1"/>
        <v>0</v>
      </c>
      <c r="Z38" s="95">
        <f t="shared" si="1"/>
        <v>0</v>
      </c>
    </row>
    <row r="39" spans="1:26" ht="15" hidden="1">
      <c r="A39" s="54"/>
      <c r="B39" s="58"/>
      <c r="C39" s="89"/>
      <c r="D39" s="89"/>
      <c r="E39" s="89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8"/>
      <c r="Y39" s="95">
        <f t="shared" si="1"/>
        <v>0</v>
      </c>
      <c r="Z39" s="95">
        <f t="shared" si="1"/>
        <v>0</v>
      </c>
    </row>
    <row r="40" spans="1:26" ht="46.5">
      <c r="A40" s="57" t="s">
        <v>6</v>
      </c>
      <c r="B40" s="55" t="s">
        <v>217</v>
      </c>
      <c r="C40" s="91">
        <f>C41</f>
        <v>110</v>
      </c>
      <c r="D40" s="91">
        <f>D41</f>
        <v>120</v>
      </c>
      <c r="E40" s="91">
        <f>E41</f>
        <v>130</v>
      </c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93">
        <v>-20</v>
      </c>
      <c r="Y40" s="95">
        <v>62</v>
      </c>
      <c r="Z40" s="95">
        <v>65</v>
      </c>
    </row>
    <row r="41" spans="1:26" ht="15">
      <c r="A41" s="54" t="s">
        <v>371</v>
      </c>
      <c r="B41" s="58" t="s">
        <v>218</v>
      </c>
      <c r="C41" s="117">
        <v>110</v>
      </c>
      <c r="D41" s="89">
        <v>120</v>
      </c>
      <c r="E41" s="89">
        <v>130</v>
      </c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93">
        <v>-20</v>
      </c>
      <c r="Y41" s="95">
        <v>62</v>
      </c>
      <c r="Z41" s="95">
        <v>65</v>
      </c>
    </row>
    <row r="42" spans="1:26" ht="30.75">
      <c r="A42" s="54" t="s">
        <v>376</v>
      </c>
      <c r="B42" s="58" t="s">
        <v>219</v>
      </c>
      <c r="C42" s="117">
        <v>110</v>
      </c>
      <c r="D42" s="89">
        <v>120</v>
      </c>
      <c r="E42" s="89">
        <v>130</v>
      </c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93">
        <v>-20</v>
      </c>
      <c r="Y42" s="95">
        <v>62</v>
      </c>
      <c r="Z42" s="95">
        <v>65</v>
      </c>
    </row>
    <row r="43" spans="1:26" ht="15">
      <c r="A43" s="57" t="s">
        <v>377</v>
      </c>
      <c r="B43" s="55" t="s">
        <v>111</v>
      </c>
      <c r="C43" s="91">
        <f>C44+C46</f>
        <v>710</v>
      </c>
      <c r="D43" s="91">
        <f>D44+D46</f>
        <v>730</v>
      </c>
      <c r="E43" s="91">
        <f>E44+E46</f>
        <v>750</v>
      </c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93">
        <f>X44+X47</f>
        <v>100</v>
      </c>
      <c r="Y43" s="95" t="e">
        <f>Y44+Y46</f>
        <v>#REF!</v>
      </c>
      <c r="Z43" s="95" t="e">
        <f>Y43*104.5%</f>
        <v>#REF!</v>
      </c>
    </row>
    <row r="44" spans="1:26" ht="46.5">
      <c r="A44" s="54" t="s">
        <v>378</v>
      </c>
      <c r="B44" s="58" t="s">
        <v>220</v>
      </c>
      <c r="C44" s="117">
        <v>350</v>
      </c>
      <c r="D44" s="89">
        <v>360</v>
      </c>
      <c r="E44" s="89">
        <v>370</v>
      </c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93">
        <v>-50</v>
      </c>
      <c r="Y44" s="95" t="e">
        <f>#REF!*104%</f>
        <v>#REF!</v>
      </c>
      <c r="Z44" s="95" t="e">
        <f aca="true" t="shared" si="2" ref="Z44:Z51">Y44*104.5%</f>
        <v>#REF!</v>
      </c>
    </row>
    <row r="45" spans="1:26" ht="62.25">
      <c r="A45" s="54" t="s">
        <v>379</v>
      </c>
      <c r="B45" s="58" t="s">
        <v>221</v>
      </c>
      <c r="C45" s="117">
        <v>350</v>
      </c>
      <c r="D45" s="89">
        <v>360</v>
      </c>
      <c r="E45" s="89">
        <v>370</v>
      </c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93">
        <v>-50</v>
      </c>
      <c r="Y45" s="95" t="e">
        <f>#REF!*104%</f>
        <v>#REF!</v>
      </c>
      <c r="Z45" s="95" t="e">
        <f t="shared" si="2"/>
        <v>#REF!</v>
      </c>
    </row>
    <row r="46" spans="1:26" ht="60.75" customHeight="1">
      <c r="A46" s="54" t="s">
        <v>380</v>
      </c>
      <c r="B46" s="58" t="s">
        <v>222</v>
      </c>
      <c r="C46" s="117">
        <v>360</v>
      </c>
      <c r="D46" s="89">
        <v>370</v>
      </c>
      <c r="E46" s="89">
        <v>380</v>
      </c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8"/>
      <c r="Y46" s="95" t="e">
        <f>#REF!*104%</f>
        <v>#REF!</v>
      </c>
      <c r="Z46" s="95" t="e">
        <f t="shared" si="2"/>
        <v>#REF!</v>
      </c>
    </row>
    <row r="47" spans="1:26" ht="81" customHeight="1">
      <c r="A47" s="54" t="s">
        <v>109</v>
      </c>
      <c r="B47" s="25" t="s">
        <v>110</v>
      </c>
      <c r="C47" s="117"/>
      <c r="D47" s="89"/>
      <c r="E47" s="89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4">
        <v>150</v>
      </c>
      <c r="Y47" s="95" t="e">
        <f>#REF!*104%</f>
        <v>#REF!</v>
      </c>
      <c r="Z47" s="95" t="e">
        <f t="shared" si="2"/>
        <v>#REF!</v>
      </c>
    </row>
    <row r="48" spans="1:26" ht="78" customHeight="1">
      <c r="A48" s="54" t="s">
        <v>108</v>
      </c>
      <c r="B48" s="25" t="s">
        <v>112</v>
      </c>
      <c r="C48" s="117"/>
      <c r="D48" s="89"/>
      <c r="E48" s="89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4">
        <v>150</v>
      </c>
      <c r="Y48" s="95" t="e">
        <f>#REF!*104%</f>
        <v>#REF!</v>
      </c>
      <c r="Z48" s="95" t="e">
        <f t="shared" si="2"/>
        <v>#REF!</v>
      </c>
    </row>
    <row r="49" spans="1:26" ht="90" customHeight="1">
      <c r="A49" s="221" t="s">
        <v>95</v>
      </c>
      <c r="B49" s="222" t="s">
        <v>223</v>
      </c>
      <c r="C49" s="223">
        <v>360</v>
      </c>
      <c r="D49" s="224">
        <v>370</v>
      </c>
      <c r="E49" s="224">
        <v>380</v>
      </c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225"/>
      <c r="Y49" s="95" t="e">
        <f>#REF!*104%</f>
        <v>#REF!</v>
      </c>
      <c r="Z49" s="95" t="e">
        <f t="shared" si="2"/>
        <v>#REF!</v>
      </c>
    </row>
    <row r="50" spans="1:26" ht="0.75" customHeight="1" hidden="1">
      <c r="A50" s="54"/>
      <c r="B50" s="25"/>
      <c r="C50" s="117"/>
      <c r="D50" s="89"/>
      <c r="E50" s="89"/>
      <c r="F50" s="231"/>
      <c r="G50" s="231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88"/>
      <c r="Y50" s="95" t="e">
        <f>#REF!*104%</f>
        <v>#REF!</v>
      </c>
      <c r="Z50" s="95" t="e">
        <f t="shared" si="2"/>
        <v>#REF!</v>
      </c>
    </row>
    <row r="51" spans="1:26" ht="80.25" customHeight="1">
      <c r="A51" s="54" t="s">
        <v>163</v>
      </c>
      <c r="B51" s="25" t="s">
        <v>164</v>
      </c>
      <c r="C51" s="122"/>
      <c r="D51" s="122"/>
      <c r="E51" s="122"/>
      <c r="F51" s="122"/>
      <c r="G51" s="122"/>
      <c r="H51" s="122"/>
      <c r="I51" s="122"/>
      <c r="J51" s="122"/>
      <c r="K51" s="122"/>
      <c r="L51" s="122"/>
      <c r="M51" s="122"/>
      <c r="N51" s="122"/>
      <c r="O51" s="122"/>
      <c r="P51" s="122"/>
      <c r="Q51" s="122"/>
      <c r="R51" s="122"/>
      <c r="S51" s="122"/>
      <c r="T51" s="122"/>
      <c r="U51" s="122"/>
      <c r="V51" s="122"/>
      <c r="W51" s="122"/>
      <c r="X51" s="122"/>
      <c r="Y51" s="95" t="e">
        <f>#REF!*104%</f>
        <v>#REF!</v>
      </c>
      <c r="Z51" s="95" t="e">
        <f t="shared" si="2"/>
        <v>#REF!</v>
      </c>
    </row>
    <row r="52" spans="1:26" ht="72" customHeight="1" hidden="1">
      <c r="A52" s="226"/>
      <c r="B52" s="227"/>
      <c r="C52" s="228"/>
      <c r="D52" s="229"/>
      <c r="E52" s="229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230"/>
      <c r="Y52" s="252"/>
      <c r="Z52" s="252"/>
    </row>
    <row r="53" spans="1:26" ht="89.25" customHeight="1" hidden="1">
      <c r="A53" s="54"/>
      <c r="B53" s="25"/>
      <c r="C53" s="117"/>
      <c r="D53" s="89"/>
      <c r="E53" s="89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4"/>
      <c r="Y53" s="95"/>
      <c r="Z53" s="95"/>
    </row>
    <row r="54" spans="1:26" ht="54" customHeight="1" hidden="1">
      <c r="A54" s="69" t="s">
        <v>454</v>
      </c>
      <c r="B54" s="70" t="s">
        <v>224</v>
      </c>
      <c r="C54" s="117">
        <v>50</v>
      </c>
      <c r="D54" s="89">
        <v>50</v>
      </c>
      <c r="E54" s="89">
        <v>50</v>
      </c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4">
        <v>-50</v>
      </c>
      <c r="Y54" s="95">
        <f aca="true" t="shared" si="3" ref="Y54:Z57">C54+X54</f>
        <v>0</v>
      </c>
      <c r="Z54" s="95">
        <f t="shared" si="3"/>
        <v>50</v>
      </c>
    </row>
    <row r="55" spans="1:26" ht="59.25" customHeight="1" hidden="1">
      <c r="A55" s="69" t="s">
        <v>455</v>
      </c>
      <c r="B55" s="70" t="s">
        <v>225</v>
      </c>
      <c r="C55" s="117">
        <v>50</v>
      </c>
      <c r="D55" s="89">
        <v>50</v>
      </c>
      <c r="E55" s="89">
        <v>50</v>
      </c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4">
        <v>-50</v>
      </c>
      <c r="Y55" s="95">
        <f t="shared" si="3"/>
        <v>0</v>
      </c>
      <c r="Z55" s="95">
        <f t="shared" si="3"/>
        <v>50</v>
      </c>
    </row>
    <row r="56" spans="1:26" ht="73.5" customHeight="1" hidden="1">
      <c r="A56" s="69" t="s">
        <v>456</v>
      </c>
      <c r="B56" s="70" t="s">
        <v>226</v>
      </c>
      <c r="C56" s="117">
        <v>50</v>
      </c>
      <c r="D56" s="89">
        <v>50</v>
      </c>
      <c r="E56" s="89">
        <v>50</v>
      </c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4">
        <v>-50</v>
      </c>
      <c r="Y56" s="95">
        <f t="shared" si="3"/>
        <v>0</v>
      </c>
      <c r="Z56" s="95">
        <f t="shared" si="3"/>
        <v>50</v>
      </c>
    </row>
    <row r="57" spans="1:26" ht="20.25" customHeight="1" hidden="1">
      <c r="A57" s="57" t="s">
        <v>381</v>
      </c>
      <c r="B57" s="58"/>
      <c r="C57" s="91" t="e">
        <f>C58+C66+C72+C82+C100</f>
        <v>#REF!</v>
      </c>
      <c r="D57" s="91" t="e">
        <f>D58+D66+D72+D82+D100</f>
        <v>#REF!</v>
      </c>
      <c r="E57" s="91" t="e">
        <f>E58+E66+E72+E82+E100</f>
        <v>#REF!</v>
      </c>
      <c r="F57" s="94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4"/>
      <c r="Y57" s="95" t="e">
        <f t="shared" si="3"/>
        <v>#REF!</v>
      </c>
      <c r="Z57" s="95" t="e">
        <f t="shared" si="3"/>
        <v>#REF!</v>
      </c>
    </row>
    <row r="58" spans="1:26" ht="62.25">
      <c r="A58" s="57" t="s">
        <v>382</v>
      </c>
      <c r="B58" s="55" t="s">
        <v>227</v>
      </c>
      <c r="C58" s="91">
        <f>C59</f>
        <v>1415</v>
      </c>
      <c r="D58" s="91">
        <f>D59</f>
        <v>1430</v>
      </c>
      <c r="E58" s="91">
        <f>E59</f>
        <v>1450</v>
      </c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4">
        <v>-500</v>
      </c>
      <c r="Y58" s="95" t="e">
        <f>#REF!*106%</f>
        <v>#REF!</v>
      </c>
      <c r="Z58" s="95" t="e">
        <f>Y58*106%</f>
        <v>#REF!</v>
      </c>
    </row>
    <row r="59" spans="1:26" ht="108.75">
      <c r="A59" s="57" t="s">
        <v>96</v>
      </c>
      <c r="B59" s="55" t="s">
        <v>228</v>
      </c>
      <c r="C59" s="91">
        <f>C60+C62+C64</f>
        <v>1415</v>
      </c>
      <c r="D59" s="91">
        <f>D60+D62+D64</f>
        <v>1430</v>
      </c>
      <c r="E59" s="91">
        <f>E60+E62+E64</f>
        <v>1450</v>
      </c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4">
        <v>-500</v>
      </c>
      <c r="Y59" s="95" t="e">
        <f>#REF!*106%</f>
        <v>#REF!</v>
      </c>
      <c r="Z59" s="95" t="e">
        <f aca="true" t="shared" si="4" ref="Z59:Z65">Y59*106%</f>
        <v>#REF!</v>
      </c>
    </row>
    <row r="60" spans="1:26" ht="93">
      <c r="A60" s="57" t="s">
        <v>383</v>
      </c>
      <c r="B60" s="55" t="s">
        <v>229</v>
      </c>
      <c r="C60" s="91">
        <f>C61</f>
        <v>870</v>
      </c>
      <c r="D60" s="91">
        <f>D61</f>
        <v>880</v>
      </c>
      <c r="E60" s="91">
        <f>E61</f>
        <v>890</v>
      </c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4">
        <v>-500</v>
      </c>
      <c r="Y60" s="95" t="e">
        <f>#REF!*106%</f>
        <v>#REF!</v>
      </c>
      <c r="Z60" s="95" t="e">
        <f t="shared" si="4"/>
        <v>#REF!</v>
      </c>
    </row>
    <row r="61" spans="1:26" ht="99" customHeight="1">
      <c r="A61" s="54" t="s">
        <v>166</v>
      </c>
      <c r="B61" s="60" t="s">
        <v>165</v>
      </c>
      <c r="C61" s="117">
        <v>870</v>
      </c>
      <c r="D61" s="89">
        <v>880</v>
      </c>
      <c r="E61" s="89">
        <v>890</v>
      </c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4">
        <v>-500</v>
      </c>
      <c r="Y61" s="95" t="e">
        <f>#REF!*106%</f>
        <v>#REF!</v>
      </c>
      <c r="Z61" s="95" t="e">
        <f t="shared" si="4"/>
        <v>#REF!</v>
      </c>
    </row>
    <row r="62" spans="1:26" ht="0.75" customHeight="1" hidden="1">
      <c r="A62" s="57" t="s">
        <v>384</v>
      </c>
      <c r="B62" s="55" t="s">
        <v>385</v>
      </c>
      <c r="C62" s="91">
        <f>C63</f>
        <v>0</v>
      </c>
      <c r="D62" s="91">
        <f>D63</f>
        <v>0</v>
      </c>
      <c r="E62" s="91">
        <f>E63</f>
        <v>0</v>
      </c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8"/>
      <c r="Y62" s="95" t="e">
        <f>#REF!*106%</f>
        <v>#REF!</v>
      </c>
      <c r="Z62" s="95" t="e">
        <f t="shared" si="4"/>
        <v>#REF!</v>
      </c>
    </row>
    <row r="63" spans="1:26" ht="93" hidden="1">
      <c r="A63" s="54" t="s">
        <v>386</v>
      </c>
      <c r="B63" s="58" t="s">
        <v>387</v>
      </c>
      <c r="C63" s="89"/>
      <c r="D63" s="89"/>
      <c r="E63" s="89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8"/>
      <c r="Y63" s="95" t="e">
        <f>#REF!*106%</f>
        <v>#REF!</v>
      </c>
      <c r="Z63" s="95" t="e">
        <f t="shared" si="4"/>
        <v>#REF!</v>
      </c>
    </row>
    <row r="64" spans="1:26" ht="108.75">
      <c r="A64" s="57" t="s">
        <v>97</v>
      </c>
      <c r="B64" s="55" t="s">
        <v>230</v>
      </c>
      <c r="C64" s="91">
        <f>C65</f>
        <v>545</v>
      </c>
      <c r="D64" s="91">
        <f>D65</f>
        <v>550</v>
      </c>
      <c r="E64" s="91">
        <f>E65</f>
        <v>560</v>
      </c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8"/>
      <c r="Y64" s="95" t="e">
        <f>#REF!*106%</f>
        <v>#REF!</v>
      </c>
      <c r="Z64" s="95" t="e">
        <f t="shared" si="4"/>
        <v>#REF!</v>
      </c>
    </row>
    <row r="65" spans="1:26" ht="93">
      <c r="A65" s="54" t="s">
        <v>98</v>
      </c>
      <c r="B65" s="58" t="s">
        <v>231</v>
      </c>
      <c r="C65" s="89">
        <v>545</v>
      </c>
      <c r="D65" s="89">
        <v>550</v>
      </c>
      <c r="E65" s="89">
        <v>560</v>
      </c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8"/>
      <c r="Y65" s="95" t="e">
        <f>#REF!*106%</f>
        <v>#REF!</v>
      </c>
      <c r="Z65" s="95" t="e">
        <f t="shared" si="4"/>
        <v>#REF!</v>
      </c>
    </row>
    <row r="66" spans="1:26" ht="30.75">
      <c r="A66" s="57" t="s">
        <v>37</v>
      </c>
      <c r="B66" s="55" t="s">
        <v>184</v>
      </c>
      <c r="C66" s="89">
        <v>85</v>
      </c>
      <c r="D66" s="89">
        <v>87</v>
      </c>
      <c r="E66" s="89">
        <v>90</v>
      </c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8"/>
      <c r="Y66" s="95" t="e">
        <f>#REF!*103%</f>
        <v>#REF!</v>
      </c>
      <c r="Z66" s="95">
        <v>257.2</v>
      </c>
    </row>
    <row r="67" spans="1:28" ht="30.75">
      <c r="A67" s="54" t="s">
        <v>38</v>
      </c>
      <c r="B67" s="58" t="s">
        <v>185</v>
      </c>
      <c r="C67" s="89">
        <v>85</v>
      </c>
      <c r="D67" s="89">
        <v>87</v>
      </c>
      <c r="E67" s="89">
        <v>90</v>
      </c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8"/>
      <c r="Y67" s="95" t="e">
        <f>#REF!*103%</f>
        <v>#REF!</v>
      </c>
      <c r="Z67" s="95">
        <v>257.2</v>
      </c>
      <c r="AA67" s="261"/>
      <c r="AB67" s="262"/>
    </row>
    <row r="68" spans="1:27" ht="30.75">
      <c r="A68" s="54" t="s">
        <v>169</v>
      </c>
      <c r="B68" s="58" t="s">
        <v>167</v>
      </c>
      <c r="C68" s="89"/>
      <c r="D68" s="89"/>
      <c r="E68" s="89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8"/>
      <c r="Y68" s="95" t="e">
        <f>#REF!*103%</f>
        <v>#REF!</v>
      </c>
      <c r="Z68" s="95">
        <v>46</v>
      </c>
      <c r="AA68" s="261"/>
    </row>
    <row r="69" spans="1:27" ht="30.75">
      <c r="A69" s="54" t="s">
        <v>170</v>
      </c>
      <c r="B69" s="58" t="s">
        <v>168</v>
      </c>
      <c r="C69" s="89"/>
      <c r="D69" s="89"/>
      <c r="E69" s="89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8"/>
      <c r="Y69" s="95" t="e">
        <f>#REF!*103%</f>
        <v>#REF!</v>
      </c>
      <c r="Z69" s="95">
        <v>1.5</v>
      </c>
      <c r="AA69" s="261"/>
    </row>
    <row r="70" spans="1:27" ht="30.75">
      <c r="A70" s="244" t="s">
        <v>511</v>
      </c>
      <c r="B70" s="58" t="s">
        <v>323</v>
      </c>
      <c r="C70" s="89"/>
      <c r="D70" s="89"/>
      <c r="E70" s="89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8"/>
      <c r="Y70" s="95" t="e">
        <f>#REF!*103%</f>
        <v>#REF!</v>
      </c>
      <c r="Z70" s="95">
        <v>1.5</v>
      </c>
      <c r="AA70" s="261"/>
    </row>
    <row r="71" spans="1:27" ht="30.75">
      <c r="A71" s="244" t="s">
        <v>512</v>
      </c>
      <c r="B71" s="58" t="s">
        <v>324</v>
      </c>
      <c r="C71" s="89"/>
      <c r="D71" s="89"/>
      <c r="E71" s="89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8"/>
      <c r="Y71" s="95" t="e">
        <f>#REF!*103%</f>
        <v>#REF!</v>
      </c>
      <c r="Z71" s="95">
        <v>208.2</v>
      </c>
      <c r="AA71" s="261"/>
    </row>
    <row r="72" spans="1:26" ht="54.75" customHeight="1">
      <c r="A72" s="57" t="s">
        <v>39</v>
      </c>
      <c r="B72" s="55" t="s">
        <v>411</v>
      </c>
      <c r="C72" s="91">
        <f>C73+C76</f>
        <v>3200</v>
      </c>
      <c r="D72" s="91">
        <f>D73+D76</f>
        <v>0</v>
      </c>
      <c r="E72" s="91">
        <f>E73+E76</f>
        <v>0</v>
      </c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4">
        <v>1200</v>
      </c>
      <c r="Y72" s="95" t="e">
        <f>#REF!*115%</f>
        <v>#REF!</v>
      </c>
      <c r="Z72" s="95" t="e">
        <f aca="true" t="shared" si="5" ref="Z72:Z77">Y72*115%</f>
        <v>#REF!</v>
      </c>
    </row>
    <row r="73" spans="1:26" ht="15" hidden="1">
      <c r="A73" s="57"/>
      <c r="B73" s="55"/>
      <c r="C73" s="91"/>
      <c r="D73" s="91"/>
      <c r="E73" s="91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4"/>
      <c r="Y73" s="95" t="e">
        <f>#REF!*115%</f>
        <v>#REF!</v>
      </c>
      <c r="Z73" s="95" t="e">
        <f t="shared" si="5"/>
        <v>#REF!</v>
      </c>
    </row>
    <row r="74" spans="1:26" ht="15" hidden="1">
      <c r="A74" s="54"/>
      <c r="B74" s="58"/>
      <c r="C74" s="89"/>
      <c r="D74" s="89"/>
      <c r="E74" s="89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4"/>
      <c r="Y74" s="95" t="e">
        <f>#REF!*115%</f>
        <v>#REF!</v>
      </c>
      <c r="Z74" s="95" t="e">
        <f t="shared" si="5"/>
        <v>#REF!</v>
      </c>
    </row>
    <row r="75" spans="1:26" ht="15" hidden="1">
      <c r="A75" s="54"/>
      <c r="B75" s="58"/>
      <c r="C75" s="89"/>
      <c r="D75" s="89"/>
      <c r="E75" s="89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4"/>
      <c r="Y75" s="95" t="e">
        <f>#REF!*115%</f>
        <v>#REF!</v>
      </c>
      <c r="Z75" s="95" t="e">
        <f t="shared" si="5"/>
        <v>#REF!</v>
      </c>
    </row>
    <row r="76" spans="1:26" ht="30.75">
      <c r="A76" s="57" t="s">
        <v>44</v>
      </c>
      <c r="B76" s="55" t="s">
        <v>410</v>
      </c>
      <c r="C76" s="117">
        <v>3200</v>
      </c>
      <c r="D76" s="89">
        <v>0</v>
      </c>
      <c r="E76" s="89">
        <v>0</v>
      </c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4">
        <v>1200</v>
      </c>
      <c r="Y76" s="95" t="e">
        <f>#REF!*115%</f>
        <v>#REF!</v>
      </c>
      <c r="Z76" s="95" t="e">
        <f t="shared" si="5"/>
        <v>#REF!</v>
      </c>
    </row>
    <row r="77" spans="1:26" ht="45.75" customHeight="1">
      <c r="A77" s="54" t="s">
        <v>172</v>
      </c>
      <c r="B77" s="58" t="s">
        <v>171</v>
      </c>
      <c r="C77" s="117">
        <v>3200</v>
      </c>
      <c r="D77" s="89">
        <v>0</v>
      </c>
      <c r="E77" s="89">
        <v>0</v>
      </c>
      <c r="F77" s="87" t="s">
        <v>388</v>
      </c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4">
        <v>1200</v>
      </c>
      <c r="Y77" s="95" t="e">
        <f>#REF!*115%</f>
        <v>#REF!</v>
      </c>
      <c r="Z77" s="95" t="e">
        <f t="shared" si="5"/>
        <v>#REF!</v>
      </c>
    </row>
    <row r="78" spans="1:26" ht="46.5" hidden="1">
      <c r="A78" s="54" t="s">
        <v>45</v>
      </c>
      <c r="B78" s="58" t="s">
        <v>46</v>
      </c>
      <c r="C78" s="89">
        <v>1830</v>
      </c>
      <c r="D78" s="89">
        <v>1850</v>
      </c>
      <c r="E78" s="89">
        <v>1870</v>
      </c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8"/>
      <c r="Y78" s="95">
        <f>C78+X78</f>
        <v>1830</v>
      </c>
      <c r="Z78" s="95">
        <f>D78+Y78</f>
        <v>3680</v>
      </c>
    </row>
    <row r="79" spans="1:26" ht="30.75" hidden="1">
      <c r="A79" s="124" t="s">
        <v>429</v>
      </c>
      <c r="B79" s="123" t="s">
        <v>412</v>
      </c>
      <c r="C79" s="89"/>
      <c r="D79" s="89"/>
      <c r="E79" s="89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8"/>
      <c r="Y79" s="95"/>
      <c r="Z79" s="95"/>
    </row>
    <row r="80" spans="1:26" ht="93" hidden="1">
      <c r="A80" s="86" t="s">
        <v>430</v>
      </c>
      <c r="B80" s="123" t="s">
        <v>413</v>
      </c>
      <c r="C80" s="89"/>
      <c r="D80" s="89"/>
      <c r="E80" s="89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8"/>
      <c r="Y80" s="95"/>
      <c r="Z80" s="95"/>
    </row>
    <row r="81" spans="1:26" ht="93" hidden="1">
      <c r="A81" s="86" t="s">
        <v>409</v>
      </c>
      <c r="B81" s="123" t="s">
        <v>414</v>
      </c>
      <c r="C81" s="89"/>
      <c r="D81" s="89"/>
      <c r="E81" s="89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8"/>
      <c r="Y81" s="95"/>
      <c r="Z81" s="95"/>
    </row>
    <row r="82" spans="1:26" ht="57.75" customHeight="1">
      <c r="A82" s="57" t="s">
        <v>47</v>
      </c>
      <c r="B82" s="55" t="s">
        <v>48</v>
      </c>
      <c r="C82" s="91" t="e">
        <f>C83+C87+C88+C95+#REF!+C98</f>
        <v>#REF!</v>
      </c>
      <c r="D82" s="91" t="e">
        <f>D83+D87+D88+D95+#REF!+D98</f>
        <v>#REF!</v>
      </c>
      <c r="E82" s="91" t="e">
        <f>E83+E87+E88+E95+#REF!+E98</f>
        <v>#REF!</v>
      </c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8"/>
      <c r="Y82" s="95" t="e">
        <f>#REF!*105%</f>
        <v>#REF!</v>
      </c>
      <c r="Z82" s="95" t="e">
        <f>Y82*105%</f>
        <v>#REF!</v>
      </c>
    </row>
    <row r="83" spans="1:26" ht="30.75">
      <c r="A83" s="54" t="s">
        <v>49</v>
      </c>
      <c r="B83" s="58" t="s">
        <v>50</v>
      </c>
      <c r="C83" s="95">
        <f>C84+C85+C86</f>
        <v>131</v>
      </c>
      <c r="D83" s="95">
        <f>D84+D85+D86</f>
        <v>146</v>
      </c>
      <c r="E83" s="95">
        <f>E84+E85+E86</f>
        <v>161</v>
      </c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8"/>
      <c r="Y83" s="95" t="e">
        <f>#REF!*105%</f>
        <v>#REF!</v>
      </c>
      <c r="Z83" s="95" t="e">
        <f aca="true" t="shared" si="6" ref="Z83:Z99">Y83*105%</f>
        <v>#REF!</v>
      </c>
    </row>
    <row r="84" spans="1:26" ht="138" customHeight="1">
      <c r="A84" s="54" t="s">
        <v>99</v>
      </c>
      <c r="B84" s="58" t="s">
        <v>51</v>
      </c>
      <c r="C84" s="117">
        <v>61</v>
      </c>
      <c r="D84" s="89">
        <v>65</v>
      </c>
      <c r="E84" s="89">
        <v>70</v>
      </c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8"/>
      <c r="Y84" s="95" t="e">
        <f>#REF!*105%</f>
        <v>#REF!</v>
      </c>
      <c r="Z84" s="95" t="e">
        <f t="shared" si="6"/>
        <v>#REF!</v>
      </c>
    </row>
    <row r="85" spans="1:26" ht="15" hidden="1">
      <c r="A85" s="54"/>
      <c r="B85" s="58"/>
      <c r="C85" s="117"/>
      <c r="D85" s="89">
        <v>1</v>
      </c>
      <c r="E85" s="89">
        <v>1</v>
      </c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8"/>
      <c r="Y85" s="95" t="e">
        <f>#REF!*105%</f>
        <v>#REF!</v>
      </c>
      <c r="Z85" s="95" t="e">
        <f t="shared" si="6"/>
        <v>#REF!</v>
      </c>
    </row>
    <row r="86" spans="1:26" ht="78">
      <c r="A86" s="54" t="s">
        <v>52</v>
      </c>
      <c r="B86" s="58" t="s">
        <v>53</v>
      </c>
      <c r="C86" s="117">
        <v>70</v>
      </c>
      <c r="D86" s="89">
        <v>80</v>
      </c>
      <c r="E86" s="89">
        <v>90</v>
      </c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8"/>
      <c r="Y86" s="95" t="e">
        <f>#REF!*105%</f>
        <v>#REF!</v>
      </c>
      <c r="Z86" s="95" t="e">
        <f t="shared" si="6"/>
        <v>#REF!</v>
      </c>
    </row>
    <row r="87" spans="1:26" ht="78">
      <c r="A87" s="54" t="s">
        <v>54</v>
      </c>
      <c r="B87" s="71" t="s">
        <v>55</v>
      </c>
      <c r="C87" s="117">
        <v>20</v>
      </c>
      <c r="D87" s="89">
        <v>25</v>
      </c>
      <c r="E87" s="89">
        <v>30</v>
      </c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8"/>
      <c r="Y87" s="95" t="e">
        <f>#REF!*105%</f>
        <v>#REF!</v>
      </c>
      <c r="Z87" s="95" t="e">
        <f t="shared" si="6"/>
        <v>#REF!</v>
      </c>
    </row>
    <row r="88" spans="1:26" ht="93.75" customHeight="1">
      <c r="A88" s="54" t="s">
        <v>100</v>
      </c>
      <c r="B88" s="58" t="s">
        <v>56</v>
      </c>
      <c r="C88" s="117">
        <v>40</v>
      </c>
      <c r="D88" s="89">
        <v>45</v>
      </c>
      <c r="E88" s="89">
        <v>50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8"/>
      <c r="Y88" s="95" t="e">
        <f>#REF!*105%</f>
        <v>#REF!</v>
      </c>
      <c r="Z88" s="95" t="e">
        <f t="shared" si="6"/>
        <v>#REF!</v>
      </c>
    </row>
    <row r="89" spans="1:26" ht="13.5" customHeight="1" hidden="1">
      <c r="A89" s="54" t="s">
        <v>57</v>
      </c>
      <c r="B89" s="58" t="s">
        <v>101</v>
      </c>
      <c r="C89" s="117"/>
      <c r="D89" s="89"/>
      <c r="E89" s="89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8"/>
      <c r="Y89" s="95" t="e">
        <f>#REF!*105%</f>
        <v>#REF!</v>
      </c>
      <c r="Z89" s="95" t="e">
        <f t="shared" si="6"/>
        <v>#REF!</v>
      </c>
    </row>
    <row r="90" spans="1:26" ht="46.5" hidden="1">
      <c r="A90" s="54" t="s">
        <v>58</v>
      </c>
      <c r="B90" s="58" t="s">
        <v>102</v>
      </c>
      <c r="C90" s="117"/>
      <c r="D90" s="89"/>
      <c r="E90" s="89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8"/>
      <c r="Y90" s="95" t="e">
        <f>#REF!*105%</f>
        <v>#REF!</v>
      </c>
      <c r="Z90" s="95" t="e">
        <f t="shared" si="6"/>
        <v>#REF!</v>
      </c>
    </row>
    <row r="91" spans="1:26" ht="30.75" hidden="1">
      <c r="A91" s="54" t="s">
        <v>59</v>
      </c>
      <c r="B91" s="58" t="s">
        <v>103</v>
      </c>
      <c r="C91" s="117"/>
      <c r="D91" s="89"/>
      <c r="E91" s="89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8"/>
      <c r="Y91" s="95" t="e">
        <f>#REF!*105%</f>
        <v>#REF!</v>
      </c>
      <c r="Z91" s="95" t="e">
        <f t="shared" si="6"/>
        <v>#REF!</v>
      </c>
    </row>
    <row r="92" spans="1:26" ht="30.75" hidden="1">
      <c r="A92" s="54" t="s">
        <v>61</v>
      </c>
      <c r="B92" s="58" t="s">
        <v>104</v>
      </c>
      <c r="C92" s="117"/>
      <c r="D92" s="89"/>
      <c r="E92" s="89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8"/>
      <c r="Y92" s="95" t="e">
        <f>#REF!*105%</f>
        <v>#REF!</v>
      </c>
      <c r="Z92" s="95" t="e">
        <f t="shared" si="6"/>
        <v>#REF!</v>
      </c>
    </row>
    <row r="93" spans="1:26" ht="62.25" hidden="1">
      <c r="A93" s="54" t="s">
        <v>62</v>
      </c>
      <c r="B93" s="58" t="s">
        <v>105</v>
      </c>
      <c r="C93" s="117"/>
      <c r="D93" s="89"/>
      <c r="E93" s="89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8"/>
      <c r="Y93" s="95" t="e">
        <f>#REF!*105%</f>
        <v>#REF!</v>
      </c>
      <c r="Z93" s="95" t="e">
        <f t="shared" si="6"/>
        <v>#REF!</v>
      </c>
    </row>
    <row r="94" spans="1:26" ht="30.75">
      <c r="A94" s="54" t="s">
        <v>59</v>
      </c>
      <c r="B94" s="58" t="s">
        <v>60</v>
      </c>
      <c r="C94" s="117">
        <v>40</v>
      </c>
      <c r="D94" s="89"/>
      <c r="E94" s="89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8"/>
      <c r="Y94" s="95" t="e">
        <f>#REF!*105%</f>
        <v>#REF!</v>
      </c>
      <c r="Z94" s="95" t="e">
        <f t="shared" si="6"/>
        <v>#REF!</v>
      </c>
    </row>
    <row r="95" spans="1:26" ht="78">
      <c r="A95" s="54" t="s">
        <v>63</v>
      </c>
      <c r="B95" s="58" t="s">
        <v>64</v>
      </c>
      <c r="C95" s="117">
        <v>145</v>
      </c>
      <c r="D95" s="89">
        <v>150</v>
      </c>
      <c r="E95" s="89">
        <v>155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8"/>
      <c r="Y95" s="95" t="e">
        <f>#REF!*105%</f>
        <v>#REF!</v>
      </c>
      <c r="Z95" s="95" t="e">
        <f t="shared" si="6"/>
        <v>#REF!</v>
      </c>
    </row>
    <row r="96" spans="1:26" ht="62.25" hidden="1">
      <c r="A96" s="54" t="s">
        <v>65</v>
      </c>
      <c r="B96" s="58" t="s">
        <v>66</v>
      </c>
      <c r="C96" s="117"/>
      <c r="D96" s="89"/>
      <c r="E96" s="89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8"/>
      <c r="Y96" s="95" t="e">
        <f>#REF!*105%</f>
        <v>#REF!</v>
      </c>
      <c r="Z96" s="95" t="e">
        <f t="shared" si="6"/>
        <v>#REF!</v>
      </c>
    </row>
    <row r="97" spans="1:26" ht="78" hidden="1">
      <c r="A97" s="54" t="s">
        <v>67</v>
      </c>
      <c r="B97" s="58" t="s">
        <v>68</v>
      </c>
      <c r="C97" s="117"/>
      <c r="D97" s="89"/>
      <c r="E97" s="89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8"/>
      <c r="Y97" s="95" t="e">
        <f>#REF!*105%</f>
        <v>#REF!</v>
      </c>
      <c r="Z97" s="95" t="e">
        <f t="shared" si="6"/>
        <v>#REF!</v>
      </c>
    </row>
    <row r="98" spans="1:26" ht="30.75">
      <c r="A98" s="54" t="s">
        <v>69</v>
      </c>
      <c r="B98" s="58" t="s">
        <v>70</v>
      </c>
      <c r="C98" s="117">
        <v>300</v>
      </c>
      <c r="D98" s="89">
        <v>350</v>
      </c>
      <c r="E98" s="89">
        <v>400</v>
      </c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8"/>
      <c r="Y98" s="95" t="e">
        <f>#REF!*105%</f>
        <v>#REF!</v>
      </c>
      <c r="Z98" s="95" t="e">
        <f t="shared" si="6"/>
        <v>#REF!</v>
      </c>
    </row>
    <row r="99" spans="1:26" ht="62.25" customHeight="1">
      <c r="A99" s="54" t="s">
        <v>71</v>
      </c>
      <c r="B99" s="58" t="s">
        <v>72</v>
      </c>
      <c r="C99" s="117">
        <v>300</v>
      </c>
      <c r="D99" s="89">
        <v>350</v>
      </c>
      <c r="E99" s="89">
        <v>400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8"/>
      <c r="Y99" s="95" t="e">
        <f>#REF!*105%</f>
        <v>#REF!</v>
      </c>
      <c r="Z99" s="95" t="e">
        <f t="shared" si="6"/>
        <v>#REF!</v>
      </c>
    </row>
    <row r="100" spans="1:26" ht="15" hidden="1">
      <c r="A100" s="57" t="s">
        <v>73</v>
      </c>
      <c r="B100" s="55" t="s">
        <v>232</v>
      </c>
      <c r="C100" s="117">
        <v>50</v>
      </c>
      <c r="D100" s="89">
        <v>60</v>
      </c>
      <c r="E100" s="89">
        <v>70</v>
      </c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8"/>
      <c r="Y100" s="95">
        <v>0</v>
      </c>
      <c r="Z100" s="95">
        <v>0</v>
      </c>
    </row>
    <row r="101" spans="1:26" ht="15" hidden="1">
      <c r="A101" s="57" t="s">
        <v>74</v>
      </c>
      <c r="B101" s="55" t="s">
        <v>233</v>
      </c>
      <c r="C101" s="117">
        <v>50</v>
      </c>
      <c r="D101" s="89">
        <v>60</v>
      </c>
      <c r="E101" s="89">
        <v>70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8"/>
      <c r="Y101" s="95">
        <v>0</v>
      </c>
      <c r="Z101" s="95">
        <v>0</v>
      </c>
    </row>
    <row r="102" spans="1:26" ht="30.75" hidden="1">
      <c r="A102" s="54" t="s">
        <v>75</v>
      </c>
      <c r="B102" s="58" t="s">
        <v>234</v>
      </c>
      <c r="C102" s="117">
        <v>50</v>
      </c>
      <c r="D102" s="89">
        <v>60</v>
      </c>
      <c r="E102" s="89">
        <v>70</v>
      </c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8"/>
      <c r="Y102" s="95">
        <v>0</v>
      </c>
      <c r="Z102" s="95">
        <v>0</v>
      </c>
    </row>
    <row r="103" spans="1:26" ht="15">
      <c r="A103" s="57" t="s">
        <v>76</v>
      </c>
      <c r="B103" s="55" t="s">
        <v>235</v>
      </c>
      <c r="C103" s="91">
        <f>C104+C201</f>
        <v>339807.7</v>
      </c>
      <c r="D103" s="91">
        <f>D104+D201</f>
        <v>325321.3</v>
      </c>
      <c r="E103" s="91">
        <f>E104+E201</f>
        <v>330180.79999999993</v>
      </c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4">
        <f>X110+X149+X211</f>
        <v>4217</v>
      </c>
      <c r="Y103" s="95">
        <f>Y104</f>
        <v>273817.4</v>
      </c>
      <c r="Z103" s="95">
        <f>Z104</f>
        <v>273817.4</v>
      </c>
    </row>
    <row r="104" spans="1:26" ht="30.75">
      <c r="A104" s="57" t="s">
        <v>77</v>
      </c>
      <c r="B104" s="55" t="s">
        <v>183</v>
      </c>
      <c r="C104" s="91">
        <f>C105+C110+C149</f>
        <v>339807.7</v>
      </c>
      <c r="D104" s="91">
        <f>D105+D110+D149</f>
        <v>325321.3</v>
      </c>
      <c r="E104" s="91">
        <f>E105+E110+E149</f>
        <v>330180.79999999993</v>
      </c>
      <c r="F104" s="94"/>
      <c r="G104" s="94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4">
        <v>4217</v>
      </c>
      <c r="Y104" s="95">
        <f>Y105+Y110+Y149</f>
        <v>273817.4</v>
      </c>
      <c r="Z104" s="95">
        <f>Z105+Z110+Z149</f>
        <v>273817.4</v>
      </c>
    </row>
    <row r="105" spans="1:26" ht="30.75">
      <c r="A105" s="57" t="s">
        <v>78</v>
      </c>
      <c r="B105" s="55" t="s">
        <v>182</v>
      </c>
      <c r="C105" s="91">
        <f>C108+C106</f>
        <v>109321.4</v>
      </c>
      <c r="D105" s="91">
        <f>D108+D106</f>
        <v>106197.59999999999</v>
      </c>
      <c r="E105" s="91">
        <f>E108+E106</f>
        <v>106316.7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8"/>
      <c r="Y105" s="95">
        <f>Y106</f>
        <v>67232.5</v>
      </c>
      <c r="Z105" s="95">
        <f>Z106</f>
        <v>67232.5</v>
      </c>
    </row>
    <row r="106" spans="1:26" ht="30.75">
      <c r="A106" s="54" t="s">
        <v>79</v>
      </c>
      <c r="B106" s="58" t="s">
        <v>181</v>
      </c>
      <c r="C106" s="95">
        <f>C107</f>
        <v>107891.5</v>
      </c>
      <c r="D106" s="95">
        <f>D107</f>
        <v>104650.4</v>
      </c>
      <c r="E106" s="95">
        <f>E107</f>
        <v>104650.4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8"/>
      <c r="Y106" s="95">
        <f>Y107</f>
        <v>67232.5</v>
      </c>
      <c r="Z106" s="95">
        <f>Z107</f>
        <v>67232.5</v>
      </c>
    </row>
    <row r="107" spans="1:26" ht="30.75" customHeight="1">
      <c r="A107" s="54" t="s">
        <v>80</v>
      </c>
      <c r="B107" s="58" t="s">
        <v>180</v>
      </c>
      <c r="C107" s="117">
        <v>107891.5</v>
      </c>
      <c r="D107" s="89">
        <v>104650.4</v>
      </c>
      <c r="E107" s="89">
        <v>104650.4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8"/>
      <c r="Y107" s="95">
        <f>59856.1+7376.4</f>
        <v>67232.5</v>
      </c>
      <c r="Z107" s="95">
        <f>59856.1+7376.4</f>
        <v>67232.5</v>
      </c>
    </row>
    <row r="108" spans="1:26" ht="30.75" hidden="1">
      <c r="A108" s="54" t="s">
        <v>81</v>
      </c>
      <c r="B108" s="58" t="s">
        <v>179</v>
      </c>
      <c r="C108" s="117">
        <v>1429.9</v>
      </c>
      <c r="D108" s="89">
        <v>1547.2</v>
      </c>
      <c r="E108" s="89">
        <v>1666.3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8"/>
      <c r="Y108" s="95"/>
      <c r="Z108" s="95"/>
    </row>
    <row r="109" spans="1:26" ht="46.5" customHeight="1" hidden="1">
      <c r="A109" s="54" t="s">
        <v>82</v>
      </c>
      <c r="B109" s="58" t="s">
        <v>178</v>
      </c>
      <c r="C109" s="117">
        <v>1429.9</v>
      </c>
      <c r="D109" s="95">
        <v>1547.2</v>
      </c>
      <c r="E109" s="89">
        <v>1666.3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8"/>
      <c r="Y109" s="95"/>
      <c r="Z109" s="95"/>
    </row>
    <row r="110" spans="1:26" s="237" customFormat="1" ht="54.75" customHeight="1">
      <c r="A110" s="234" t="s">
        <v>83</v>
      </c>
      <c r="B110" s="235" t="s">
        <v>177</v>
      </c>
      <c r="C110" s="91">
        <f>C121+C147</f>
        <v>17068.3</v>
      </c>
      <c r="D110" s="91">
        <f>D121+D147</f>
        <v>1245.5</v>
      </c>
      <c r="E110" s="91">
        <f>E121+E147</f>
        <v>1332.2</v>
      </c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6"/>
      <c r="V110" s="236"/>
      <c r="W110" s="236"/>
      <c r="X110" s="117">
        <v>0</v>
      </c>
      <c r="Y110" s="95">
        <f>Y145+Y147</f>
        <v>13429.5</v>
      </c>
      <c r="Z110" s="95">
        <f>Z145+Z147</f>
        <v>13429.5</v>
      </c>
    </row>
    <row r="111" spans="1:26" s="241" customFormat="1" ht="46.5" hidden="1">
      <c r="A111" s="238" t="s">
        <v>123</v>
      </c>
      <c r="B111" s="239" t="s">
        <v>124</v>
      </c>
      <c r="C111" s="96"/>
      <c r="D111" s="96"/>
      <c r="E111" s="96"/>
      <c r="F111" s="240"/>
      <c r="G111" s="240"/>
      <c r="H111" s="240"/>
      <c r="I111" s="240"/>
      <c r="J111" s="240"/>
      <c r="K111" s="240"/>
      <c r="L111" s="240"/>
      <c r="M111" s="240"/>
      <c r="N111" s="240"/>
      <c r="O111" s="240"/>
      <c r="P111" s="240"/>
      <c r="Q111" s="240"/>
      <c r="R111" s="240"/>
      <c r="S111" s="240"/>
      <c r="T111" s="240"/>
      <c r="U111" s="240"/>
      <c r="V111" s="240"/>
      <c r="W111" s="240"/>
      <c r="X111" s="96"/>
      <c r="Y111" s="95"/>
      <c r="Z111" s="95"/>
    </row>
    <row r="112" spans="1:26" s="241" customFormat="1" ht="46.5" hidden="1">
      <c r="A112" s="238" t="s">
        <v>125</v>
      </c>
      <c r="B112" s="239" t="s">
        <v>126</v>
      </c>
      <c r="C112" s="96"/>
      <c r="D112" s="96"/>
      <c r="E112" s="96"/>
      <c r="F112" s="240"/>
      <c r="G112" s="240"/>
      <c r="H112" s="240"/>
      <c r="I112" s="240"/>
      <c r="J112" s="240"/>
      <c r="K112" s="240"/>
      <c r="L112" s="240"/>
      <c r="M112" s="240"/>
      <c r="N112" s="240"/>
      <c r="O112" s="240"/>
      <c r="P112" s="240"/>
      <c r="Q112" s="240"/>
      <c r="R112" s="240"/>
      <c r="S112" s="240"/>
      <c r="T112" s="240"/>
      <c r="U112" s="240"/>
      <c r="V112" s="240"/>
      <c r="W112" s="240"/>
      <c r="X112" s="96"/>
      <c r="Y112" s="95"/>
      <c r="Z112" s="95"/>
    </row>
    <row r="113" spans="1:26" s="241" customFormat="1" ht="30.75" hidden="1">
      <c r="A113" s="238" t="s">
        <v>127</v>
      </c>
      <c r="B113" s="239" t="s">
        <v>128</v>
      </c>
      <c r="C113" s="96"/>
      <c r="D113" s="96"/>
      <c r="E113" s="96"/>
      <c r="F113" s="240"/>
      <c r="G113" s="240"/>
      <c r="H113" s="240"/>
      <c r="I113" s="240"/>
      <c r="J113" s="240"/>
      <c r="K113" s="240"/>
      <c r="L113" s="240"/>
      <c r="M113" s="240"/>
      <c r="N113" s="240"/>
      <c r="O113" s="240"/>
      <c r="P113" s="240"/>
      <c r="Q113" s="240"/>
      <c r="R113" s="240"/>
      <c r="S113" s="240"/>
      <c r="T113" s="240"/>
      <c r="U113" s="240"/>
      <c r="V113" s="240"/>
      <c r="W113" s="240"/>
      <c r="X113" s="96"/>
      <c r="Y113" s="95"/>
      <c r="Z113" s="95"/>
    </row>
    <row r="114" spans="1:26" s="241" customFormat="1" ht="30.75" hidden="1">
      <c r="A114" s="238" t="s">
        <v>129</v>
      </c>
      <c r="B114" s="239" t="s">
        <v>130</v>
      </c>
      <c r="C114" s="96"/>
      <c r="D114" s="96"/>
      <c r="E114" s="96"/>
      <c r="F114" s="240"/>
      <c r="G114" s="240"/>
      <c r="H114" s="240"/>
      <c r="I114" s="240"/>
      <c r="J114" s="240"/>
      <c r="K114" s="240"/>
      <c r="L114" s="240"/>
      <c r="M114" s="240"/>
      <c r="N114" s="240"/>
      <c r="O114" s="240"/>
      <c r="P114" s="240"/>
      <c r="Q114" s="240"/>
      <c r="R114" s="240"/>
      <c r="S114" s="240"/>
      <c r="T114" s="240"/>
      <c r="U114" s="240"/>
      <c r="V114" s="240"/>
      <c r="W114" s="240"/>
      <c r="X114" s="96"/>
      <c r="Y114" s="95"/>
      <c r="Z114" s="95"/>
    </row>
    <row r="115" spans="1:26" s="241" customFormat="1" ht="62.25" hidden="1">
      <c r="A115" s="238" t="s">
        <v>131</v>
      </c>
      <c r="B115" s="239" t="s">
        <v>132</v>
      </c>
      <c r="C115" s="96"/>
      <c r="D115" s="96"/>
      <c r="E115" s="96"/>
      <c r="F115" s="240"/>
      <c r="G115" s="240"/>
      <c r="H115" s="240"/>
      <c r="I115" s="240"/>
      <c r="J115" s="240"/>
      <c r="K115" s="240"/>
      <c r="L115" s="240"/>
      <c r="M115" s="240"/>
      <c r="N115" s="240"/>
      <c r="O115" s="240"/>
      <c r="P115" s="240"/>
      <c r="Q115" s="240"/>
      <c r="R115" s="240"/>
      <c r="S115" s="240"/>
      <c r="T115" s="240"/>
      <c r="U115" s="240"/>
      <c r="V115" s="240"/>
      <c r="W115" s="240"/>
      <c r="X115" s="96"/>
      <c r="Y115" s="95"/>
      <c r="Z115" s="95"/>
    </row>
    <row r="116" spans="1:26" s="241" customFormat="1" ht="62.25" hidden="1">
      <c r="A116" s="238" t="s">
        <v>133</v>
      </c>
      <c r="B116" s="239" t="s">
        <v>134</v>
      </c>
      <c r="C116" s="96"/>
      <c r="D116" s="96"/>
      <c r="E116" s="96"/>
      <c r="F116" s="240"/>
      <c r="G116" s="240"/>
      <c r="H116" s="240"/>
      <c r="I116" s="240"/>
      <c r="J116" s="240"/>
      <c r="K116" s="240"/>
      <c r="L116" s="240"/>
      <c r="M116" s="240"/>
      <c r="N116" s="240"/>
      <c r="O116" s="240"/>
      <c r="P116" s="240"/>
      <c r="Q116" s="240"/>
      <c r="R116" s="240"/>
      <c r="S116" s="240"/>
      <c r="T116" s="240"/>
      <c r="U116" s="240"/>
      <c r="V116" s="240"/>
      <c r="W116" s="240"/>
      <c r="X116" s="96"/>
      <c r="Y116" s="95"/>
      <c r="Z116" s="95"/>
    </row>
    <row r="117" spans="1:26" s="241" customFormat="1" ht="30.75" hidden="1">
      <c r="A117" s="238" t="s">
        <v>135</v>
      </c>
      <c r="B117" s="239" t="s">
        <v>136</v>
      </c>
      <c r="C117" s="96"/>
      <c r="D117" s="96"/>
      <c r="E117" s="96"/>
      <c r="F117" s="240"/>
      <c r="G117" s="240"/>
      <c r="H117" s="240"/>
      <c r="I117" s="240"/>
      <c r="J117" s="240"/>
      <c r="K117" s="240"/>
      <c r="L117" s="240"/>
      <c r="M117" s="240"/>
      <c r="N117" s="240"/>
      <c r="O117" s="240"/>
      <c r="P117" s="240"/>
      <c r="Q117" s="240"/>
      <c r="R117" s="240"/>
      <c r="S117" s="240"/>
      <c r="T117" s="240"/>
      <c r="U117" s="240"/>
      <c r="V117" s="240"/>
      <c r="W117" s="240"/>
      <c r="X117" s="96"/>
      <c r="Y117" s="95"/>
      <c r="Z117" s="95"/>
    </row>
    <row r="118" spans="1:26" s="241" customFormat="1" ht="46.5" hidden="1">
      <c r="A118" s="238" t="s">
        <v>186</v>
      </c>
      <c r="B118" s="239" t="s">
        <v>187</v>
      </c>
      <c r="C118" s="96"/>
      <c r="D118" s="96"/>
      <c r="E118" s="96"/>
      <c r="F118" s="240"/>
      <c r="G118" s="240"/>
      <c r="H118" s="240"/>
      <c r="I118" s="240"/>
      <c r="J118" s="240"/>
      <c r="K118" s="240"/>
      <c r="L118" s="240"/>
      <c r="M118" s="240"/>
      <c r="N118" s="240"/>
      <c r="O118" s="240"/>
      <c r="P118" s="240"/>
      <c r="Q118" s="240"/>
      <c r="R118" s="240"/>
      <c r="S118" s="240"/>
      <c r="T118" s="240"/>
      <c r="U118" s="240"/>
      <c r="V118" s="240"/>
      <c r="W118" s="240"/>
      <c r="X118" s="96"/>
      <c r="Y118" s="95"/>
      <c r="Z118" s="95"/>
    </row>
    <row r="119" spans="1:26" s="241" customFormat="1" ht="62.25" hidden="1">
      <c r="A119" s="242" t="s">
        <v>131</v>
      </c>
      <c r="B119" s="243" t="s">
        <v>415</v>
      </c>
      <c r="C119" s="96"/>
      <c r="D119" s="96"/>
      <c r="E119" s="96"/>
      <c r="F119" s="240"/>
      <c r="G119" s="240"/>
      <c r="H119" s="240"/>
      <c r="I119" s="240"/>
      <c r="J119" s="240"/>
      <c r="K119" s="240"/>
      <c r="L119" s="240"/>
      <c r="M119" s="240"/>
      <c r="N119" s="240"/>
      <c r="O119" s="240"/>
      <c r="P119" s="240"/>
      <c r="Q119" s="240"/>
      <c r="R119" s="240"/>
      <c r="S119" s="240"/>
      <c r="T119" s="240"/>
      <c r="U119" s="240"/>
      <c r="V119" s="240"/>
      <c r="W119" s="240"/>
      <c r="X119" s="96"/>
      <c r="Y119" s="95"/>
      <c r="Z119" s="95"/>
    </row>
    <row r="120" spans="1:26" s="241" customFormat="1" ht="62.25" hidden="1">
      <c r="A120" s="242" t="s">
        <v>133</v>
      </c>
      <c r="B120" s="243" t="s">
        <v>416</v>
      </c>
      <c r="C120" s="96"/>
      <c r="D120" s="96"/>
      <c r="E120" s="96"/>
      <c r="F120" s="240"/>
      <c r="G120" s="240"/>
      <c r="H120" s="240"/>
      <c r="I120" s="240"/>
      <c r="J120" s="240"/>
      <c r="K120" s="240"/>
      <c r="L120" s="240"/>
      <c r="M120" s="240"/>
      <c r="N120" s="240"/>
      <c r="O120" s="240"/>
      <c r="P120" s="240"/>
      <c r="Q120" s="240"/>
      <c r="R120" s="240"/>
      <c r="S120" s="240"/>
      <c r="T120" s="240"/>
      <c r="U120" s="240"/>
      <c r="V120" s="240"/>
      <c r="W120" s="240"/>
      <c r="X120" s="96"/>
      <c r="Y120" s="95"/>
      <c r="Z120" s="95"/>
    </row>
    <row r="121" spans="1:26" s="241" customFormat="1" ht="62.25" hidden="1">
      <c r="A121" s="238" t="s">
        <v>451</v>
      </c>
      <c r="B121" s="239" t="s">
        <v>176</v>
      </c>
      <c r="C121" s="119">
        <v>33.7</v>
      </c>
      <c r="D121" s="96">
        <v>33.7</v>
      </c>
      <c r="E121" s="96">
        <v>33.7</v>
      </c>
      <c r="F121" s="240"/>
      <c r="G121" s="240"/>
      <c r="H121" s="240"/>
      <c r="I121" s="240"/>
      <c r="J121" s="240"/>
      <c r="K121" s="240"/>
      <c r="L121" s="240"/>
      <c r="M121" s="240"/>
      <c r="N121" s="240"/>
      <c r="O121" s="240"/>
      <c r="P121" s="240"/>
      <c r="Q121" s="240"/>
      <c r="R121" s="240"/>
      <c r="S121" s="240"/>
      <c r="T121" s="240"/>
      <c r="U121" s="240"/>
      <c r="V121" s="240"/>
      <c r="W121" s="240"/>
      <c r="X121" s="119">
        <v>-33.7</v>
      </c>
      <c r="Y121" s="95"/>
      <c r="Z121" s="95"/>
    </row>
    <row r="122" spans="1:26" s="241" customFormat="1" ht="46.5" hidden="1">
      <c r="A122" s="238" t="s">
        <v>452</v>
      </c>
      <c r="B122" s="239" t="s">
        <v>175</v>
      </c>
      <c r="C122" s="119">
        <v>33.7</v>
      </c>
      <c r="D122" s="96">
        <v>33.7</v>
      </c>
      <c r="E122" s="96">
        <v>33.7</v>
      </c>
      <c r="F122" s="240" t="s">
        <v>388</v>
      </c>
      <c r="G122" s="240"/>
      <c r="H122" s="240"/>
      <c r="I122" s="240"/>
      <c r="J122" s="240"/>
      <c r="K122" s="240"/>
      <c r="L122" s="240"/>
      <c r="M122" s="240"/>
      <c r="N122" s="240"/>
      <c r="O122" s="240"/>
      <c r="P122" s="240"/>
      <c r="Q122" s="240"/>
      <c r="R122" s="240"/>
      <c r="S122" s="240"/>
      <c r="T122" s="240"/>
      <c r="U122" s="240"/>
      <c r="V122" s="240"/>
      <c r="W122" s="240"/>
      <c r="X122" s="119">
        <v>-33.7</v>
      </c>
      <c r="Y122" s="95"/>
      <c r="Z122" s="95"/>
    </row>
    <row r="123" spans="1:26" s="237" customFormat="1" ht="78" hidden="1">
      <c r="A123" s="244" t="s">
        <v>503</v>
      </c>
      <c r="B123" s="245" t="s">
        <v>420</v>
      </c>
      <c r="C123" s="117"/>
      <c r="D123" s="89"/>
      <c r="E123" s="89"/>
      <c r="F123" s="236"/>
      <c r="G123" s="236"/>
      <c r="H123" s="236"/>
      <c r="I123" s="236"/>
      <c r="J123" s="236"/>
      <c r="K123" s="236"/>
      <c r="L123" s="236"/>
      <c r="M123" s="236"/>
      <c r="N123" s="236"/>
      <c r="O123" s="236"/>
      <c r="P123" s="236"/>
      <c r="Q123" s="236"/>
      <c r="R123" s="236"/>
      <c r="S123" s="236"/>
      <c r="T123" s="236"/>
      <c r="U123" s="236"/>
      <c r="V123" s="236"/>
      <c r="W123" s="236"/>
      <c r="X123" s="117"/>
      <c r="Y123" s="95"/>
      <c r="Z123" s="95"/>
    </row>
    <row r="124" spans="1:26" s="237" customFormat="1" ht="62.25" hidden="1">
      <c r="A124" s="244" t="s">
        <v>432</v>
      </c>
      <c r="B124" s="245" t="s">
        <v>417</v>
      </c>
      <c r="C124" s="117"/>
      <c r="D124" s="89"/>
      <c r="E124" s="89"/>
      <c r="F124" s="236"/>
      <c r="G124" s="236"/>
      <c r="H124" s="236"/>
      <c r="I124" s="236"/>
      <c r="J124" s="236"/>
      <c r="K124" s="236"/>
      <c r="L124" s="236"/>
      <c r="M124" s="236"/>
      <c r="N124" s="236"/>
      <c r="O124" s="236"/>
      <c r="P124" s="236"/>
      <c r="Q124" s="236"/>
      <c r="R124" s="236"/>
      <c r="S124" s="236"/>
      <c r="T124" s="236"/>
      <c r="U124" s="236"/>
      <c r="V124" s="236"/>
      <c r="W124" s="236"/>
      <c r="X124" s="117"/>
      <c r="Y124" s="95"/>
      <c r="Z124" s="95"/>
    </row>
    <row r="125" spans="1:26" s="241" customFormat="1" ht="46.5" hidden="1">
      <c r="A125" s="238" t="s">
        <v>462</v>
      </c>
      <c r="B125" s="239" t="s">
        <v>463</v>
      </c>
      <c r="C125" s="96"/>
      <c r="D125" s="96"/>
      <c r="E125" s="96"/>
      <c r="F125" s="240"/>
      <c r="G125" s="240"/>
      <c r="H125" s="240"/>
      <c r="I125" s="240"/>
      <c r="J125" s="240"/>
      <c r="K125" s="240"/>
      <c r="L125" s="240"/>
      <c r="M125" s="240"/>
      <c r="N125" s="240"/>
      <c r="O125" s="240"/>
      <c r="P125" s="240"/>
      <c r="Q125" s="240"/>
      <c r="R125" s="240"/>
      <c r="S125" s="240"/>
      <c r="T125" s="240"/>
      <c r="U125" s="240"/>
      <c r="V125" s="240"/>
      <c r="W125" s="240"/>
      <c r="X125" s="119"/>
      <c r="Y125" s="95"/>
      <c r="Z125" s="95"/>
    </row>
    <row r="126" spans="1:26" s="241" customFormat="1" ht="46.5" hidden="1">
      <c r="A126" s="238" t="s">
        <v>464</v>
      </c>
      <c r="B126" s="239" t="s">
        <v>465</v>
      </c>
      <c r="C126" s="96" t="s">
        <v>388</v>
      </c>
      <c r="D126" s="96"/>
      <c r="E126" s="96"/>
      <c r="F126" s="240"/>
      <c r="G126" s="240"/>
      <c r="H126" s="240"/>
      <c r="I126" s="240"/>
      <c r="J126" s="240"/>
      <c r="K126" s="240"/>
      <c r="L126" s="240"/>
      <c r="M126" s="240"/>
      <c r="N126" s="240"/>
      <c r="O126" s="240"/>
      <c r="P126" s="240"/>
      <c r="Q126" s="240"/>
      <c r="R126" s="240"/>
      <c r="S126" s="240"/>
      <c r="T126" s="240"/>
      <c r="U126" s="240"/>
      <c r="V126" s="240"/>
      <c r="W126" s="240"/>
      <c r="X126" s="119"/>
      <c r="Y126" s="95"/>
      <c r="Z126" s="95"/>
    </row>
    <row r="127" spans="1:26" s="241" customFormat="1" ht="93" hidden="1">
      <c r="A127" s="242" t="s">
        <v>431</v>
      </c>
      <c r="B127" s="243" t="s">
        <v>420</v>
      </c>
      <c r="C127" s="96"/>
      <c r="D127" s="96"/>
      <c r="E127" s="96"/>
      <c r="F127" s="240"/>
      <c r="G127" s="240"/>
      <c r="H127" s="240"/>
      <c r="I127" s="240"/>
      <c r="J127" s="240"/>
      <c r="K127" s="240"/>
      <c r="L127" s="240"/>
      <c r="M127" s="240"/>
      <c r="N127" s="240"/>
      <c r="O127" s="240"/>
      <c r="P127" s="240"/>
      <c r="Q127" s="240"/>
      <c r="R127" s="240"/>
      <c r="S127" s="240"/>
      <c r="T127" s="240"/>
      <c r="U127" s="240"/>
      <c r="V127" s="240"/>
      <c r="W127" s="240"/>
      <c r="X127" s="119"/>
      <c r="Y127" s="95"/>
      <c r="Z127" s="95"/>
    </row>
    <row r="128" spans="1:26" s="241" customFormat="1" ht="62.25" hidden="1">
      <c r="A128" s="242" t="s">
        <v>432</v>
      </c>
      <c r="B128" s="243" t="s">
        <v>417</v>
      </c>
      <c r="C128" s="246" t="s">
        <v>433</v>
      </c>
      <c r="D128" s="96"/>
      <c r="E128" s="96"/>
      <c r="F128" s="240"/>
      <c r="G128" s="240"/>
      <c r="H128" s="240"/>
      <c r="I128" s="240"/>
      <c r="J128" s="240"/>
      <c r="K128" s="240"/>
      <c r="L128" s="240"/>
      <c r="M128" s="240"/>
      <c r="N128" s="240"/>
      <c r="O128" s="240"/>
      <c r="P128" s="240"/>
      <c r="Q128" s="240"/>
      <c r="R128" s="240"/>
      <c r="S128" s="240"/>
      <c r="T128" s="240"/>
      <c r="U128" s="240"/>
      <c r="V128" s="240"/>
      <c r="W128" s="240"/>
      <c r="X128" s="119"/>
      <c r="Y128" s="95"/>
      <c r="Z128" s="95"/>
    </row>
    <row r="129" spans="1:26" s="241" customFormat="1" ht="46.5" hidden="1">
      <c r="A129" s="242" t="s">
        <v>462</v>
      </c>
      <c r="B129" s="243" t="s">
        <v>418</v>
      </c>
      <c r="C129" s="246"/>
      <c r="D129" s="96"/>
      <c r="E129" s="96"/>
      <c r="F129" s="240"/>
      <c r="G129" s="240"/>
      <c r="H129" s="240"/>
      <c r="I129" s="240"/>
      <c r="J129" s="240"/>
      <c r="K129" s="240"/>
      <c r="L129" s="240"/>
      <c r="M129" s="240"/>
      <c r="N129" s="240"/>
      <c r="O129" s="240"/>
      <c r="P129" s="240"/>
      <c r="Q129" s="240"/>
      <c r="R129" s="240"/>
      <c r="S129" s="240"/>
      <c r="T129" s="240"/>
      <c r="U129" s="240"/>
      <c r="V129" s="240"/>
      <c r="W129" s="240"/>
      <c r="X129" s="119"/>
      <c r="Y129" s="95"/>
      <c r="Z129" s="95"/>
    </row>
    <row r="130" spans="1:26" s="241" customFormat="1" ht="46.5" hidden="1">
      <c r="A130" s="242" t="s">
        <v>464</v>
      </c>
      <c r="B130" s="243" t="s">
        <v>419</v>
      </c>
      <c r="C130" s="246"/>
      <c r="D130" s="96"/>
      <c r="E130" s="96"/>
      <c r="F130" s="240"/>
      <c r="G130" s="240"/>
      <c r="H130" s="240"/>
      <c r="I130" s="240"/>
      <c r="J130" s="240"/>
      <c r="K130" s="240"/>
      <c r="L130" s="240"/>
      <c r="M130" s="240"/>
      <c r="N130" s="240"/>
      <c r="O130" s="240"/>
      <c r="P130" s="240"/>
      <c r="Q130" s="240"/>
      <c r="R130" s="240"/>
      <c r="S130" s="240"/>
      <c r="T130" s="240"/>
      <c r="U130" s="240"/>
      <c r="V130" s="240"/>
      <c r="W130" s="240"/>
      <c r="X130" s="119"/>
      <c r="Y130" s="95"/>
      <c r="Z130" s="95"/>
    </row>
    <row r="131" spans="1:26" s="241" customFormat="1" ht="62.25" hidden="1">
      <c r="A131" s="242" t="s">
        <v>290</v>
      </c>
      <c r="B131" s="243" t="s">
        <v>351</v>
      </c>
      <c r="C131" s="246"/>
      <c r="D131" s="96"/>
      <c r="E131" s="96"/>
      <c r="F131" s="240"/>
      <c r="G131" s="240"/>
      <c r="H131" s="240"/>
      <c r="I131" s="240"/>
      <c r="J131" s="240"/>
      <c r="K131" s="240"/>
      <c r="L131" s="240"/>
      <c r="M131" s="240"/>
      <c r="N131" s="240"/>
      <c r="O131" s="240"/>
      <c r="P131" s="240"/>
      <c r="Q131" s="240"/>
      <c r="R131" s="240"/>
      <c r="S131" s="240"/>
      <c r="T131" s="240"/>
      <c r="U131" s="240"/>
      <c r="V131" s="240"/>
      <c r="W131" s="240"/>
      <c r="X131" s="119"/>
      <c r="Y131" s="95"/>
      <c r="Z131" s="95"/>
    </row>
    <row r="132" spans="1:26" s="241" customFormat="1" ht="62.25" hidden="1">
      <c r="A132" s="242" t="s">
        <v>340</v>
      </c>
      <c r="B132" s="243" t="s">
        <v>352</v>
      </c>
      <c r="C132" s="246"/>
      <c r="D132" s="96"/>
      <c r="E132" s="96"/>
      <c r="F132" s="240"/>
      <c r="G132" s="240"/>
      <c r="H132" s="240"/>
      <c r="I132" s="240"/>
      <c r="J132" s="240"/>
      <c r="K132" s="240"/>
      <c r="L132" s="240"/>
      <c r="M132" s="240"/>
      <c r="N132" s="240"/>
      <c r="O132" s="240"/>
      <c r="P132" s="240"/>
      <c r="Q132" s="240"/>
      <c r="R132" s="240"/>
      <c r="S132" s="240"/>
      <c r="T132" s="240"/>
      <c r="U132" s="240"/>
      <c r="V132" s="240"/>
      <c r="W132" s="240"/>
      <c r="X132" s="119"/>
      <c r="Y132" s="95"/>
      <c r="Z132" s="95"/>
    </row>
    <row r="133" spans="1:26" s="237" customFormat="1" ht="98.25" customHeight="1" hidden="1">
      <c r="A133" s="247" t="s">
        <v>422</v>
      </c>
      <c r="B133" s="248" t="s">
        <v>423</v>
      </c>
      <c r="C133" s="249"/>
      <c r="D133" s="89"/>
      <c r="E133" s="89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117"/>
      <c r="Y133" s="95"/>
      <c r="Z133" s="95"/>
    </row>
    <row r="134" spans="1:26" s="237" customFormat="1" ht="108" customHeight="1" hidden="1">
      <c r="A134" s="247" t="s">
        <v>421</v>
      </c>
      <c r="B134" s="248" t="s">
        <v>424</v>
      </c>
      <c r="C134" s="249"/>
      <c r="D134" s="89"/>
      <c r="E134" s="89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117"/>
      <c r="Y134" s="95"/>
      <c r="Z134" s="95"/>
    </row>
    <row r="135" spans="1:26" s="237" customFormat="1" ht="90" customHeight="1" hidden="1">
      <c r="A135" s="247" t="s">
        <v>434</v>
      </c>
      <c r="B135" s="248" t="s">
        <v>425</v>
      </c>
      <c r="C135" s="249"/>
      <c r="D135" s="89"/>
      <c r="E135" s="89"/>
      <c r="F135" s="236"/>
      <c r="G135" s="236"/>
      <c r="H135" s="236"/>
      <c r="I135" s="236"/>
      <c r="J135" s="236"/>
      <c r="K135" s="236"/>
      <c r="L135" s="236"/>
      <c r="M135" s="236"/>
      <c r="N135" s="236"/>
      <c r="O135" s="236"/>
      <c r="P135" s="236"/>
      <c r="Q135" s="236"/>
      <c r="R135" s="236"/>
      <c r="S135" s="236"/>
      <c r="T135" s="236"/>
      <c r="U135" s="236"/>
      <c r="V135" s="236"/>
      <c r="W135" s="236"/>
      <c r="X135" s="117"/>
      <c r="Y135" s="95"/>
      <c r="Z135" s="95"/>
    </row>
    <row r="136" spans="1:26" s="237" customFormat="1" ht="75.75" customHeight="1" hidden="1">
      <c r="A136" s="247" t="s">
        <v>435</v>
      </c>
      <c r="B136" s="248" t="s">
        <v>426</v>
      </c>
      <c r="C136" s="249"/>
      <c r="D136" s="89"/>
      <c r="E136" s="89"/>
      <c r="F136" s="236"/>
      <c r="G136" s="236"/>
      <c r="H136" s="236"/>
      <c r="I136" s="236"/>
      <c r="J136" s="236"/>
      <c r="K136" s="236"/>
      <c r="L136" s="236"/>
      <c r="M136" s="236"/>
      <c r="N136" s="236"/>
      <c r="O136" s="236"/>
      <c r="P136" s="236"/>
      <c r="Q136" s="236"/>
      <c r="R136" s="236"/>
      <c r="S136" s="236"/>
      <c r="T136" s="236"/>
      <c r="U136" s="236"/>
      <c r="V136" s="236"/>
      <c r="W136" s="236"/>
      <c r="X136" s="117"/>
      <c r="Y136" s="95"/>
      <c r="Z136" s="95"/>
    </row>
    <row r="137" spans="1:26" s="237" customFormat="1" ht="72.75" customHeight="1" hidden="1">
      <c r="A137" s="247" t="s">
        <v>436</v>
      </c>
      <c r="B137" s="248" t="s">
        <v>427</v>
      </c>
      <c r="C137" s="249"/>
      <c r="D137" s="89"/>
      <c r="E137" s="89"/>
      <c r="F137" s="236"/>
      <c r="G137" s="236"/>
      <c r="H137" s="236"/>
      <c r="I137" s="236"/>
      <c r="J137" s="236"/>
      <c r="K137" s="236"/>
      <c r="L137" s="236"/>
      <c r="M137" s="236"/>
      <c r="N137" s="236"/>
      <c r="O137" s="236"/>
      <c r="P137" s="236"/>
      <c r="Q137" s="236"/>
      <c r="R137" s="236"/>
      <c r="S137" s="236"/>
      <c r="T137" s="236"/>
      <c r="U137" s="236"/>
      <c r="V137" s="236"/>
      <c r="W137" s="236"/>
      <c r="X137" s="117"/>
      <c r="Y137" s="95"/>
      <c r="Z137" s="95"/>
    </row>
    <row r="138" spans="1:26" s="237" customFormat="1" ht="60" customHeight="1" hidden="1">
      <c r="A138" s="247" t="s">
        <v>437</v>
      </c>
      <c r="B138" s="248" t="s">
        <v>428</v>
      </c>
      <c r="C138" s="249"/>
      <c r="D138" s="89"/>
      <c r="E138" s="89"/>
      <c r="F138" s="236"/>
      <c r="G138" s="236"/>
      <c r="H138" s="236"/>
      <c r="I138" s="236"/>
      <c r="J138" s="236"/>
      <c r="K138" s="236"/>
      <c r="L138" s="236"/>
      <c r="M138" s="236"/>
      <c r="N138" s="236"/>
      <c r="O138" s="236"/>
      <c r="P138" s="236"/>
      <c r="Q138" s="236"/>
      <c r="R138" s="236"/>
      <c r="S138" s="236"/>
      <c r="T138" s="236"/>
      <c r="U138" s="236"/>
      <c r="V138" s="236"/>
      <c r="W138" s="236"/>
      <c r="X138" s="117"/>
      <c r="Y138" s="95"/>
      <c r="Z138" s="95"/>
    </row>
    <row r="139" spans="1:26" s="241" customFormat="1" ht="60" customHeight="1" hidden="1">
      <c r="A139" s="242" t="s">
        <v>341</v>
      </c>
      <c r="B139" s="243" t="s">
        <v>347</v>
      </c>
      <c r="C139" s="246"/>
      <c r="D139" s="96"/>
      <c r="E139" s="96"/>
      <c r="F139" s="240"/>
      <c r="G139" s="240"/>
      <c r="H139" s="240"/>
      <c r="I139" s="240"/>
      <c r="J139" s="240"/>
      <c r="K139" s="240"/>
      <c r="L139" s="240"/>
      <c r="M139" s="240"/>
      <c r="N139" s="240"/>
      <c r="O139" s="240"/>
      <c r="P139" s="240"/>
      <c r="Q139" s="240"/>
      <c r="R139" s="240"/>
      <c r="S139" s="240"/>
      <c r="T139" s="240"/>
      <c r="U139" s="240"/>
      <c r="V139" s="240"/>
      <c r="W139" s="240"/>
      <c r="X139" s="119"/>
      <c r="Y139" s="95"/>
      <c r="Z139" s="95"/>
    </row>
    <row r="140" spans="1:26" s="241" customFormat="1" ht="60" customHeight="1" hidden="1">
      <c r="A140" s="242" t="s">
        <v>342</v>
      </c>
      <c r="B140" s="243" t="s">
        <v>348</v>
      </c>
      <c r="C140" s="246"/>
      <c r="D140" s="96"/>
      <c r="E140" s="96"/>
      <c r="F140" s="240"/>
      <c r="G140" s="240"/>
      <c r="H140" s="240"/>
      <c r="I140" s="240"/>
      <c r="J140" s="240"/>
      <c r="K140" s="240"/>
      <c r="L140" s="240"/>
      <c r="M140" s="240"/>
      <c r="N140" s="240"/>
      <c r="O140" s="240"/>
      <c r="P140" s="240"/>
      <c r="Q140" s="240"/>
      <c r="R140" s="240"/>
      <c r="S140" s="240"/>
      <c r="T140" s="240"/>
      <c r="U140" s="240"/>
      <c r="V140" s="240"/>
      <c r="W140" s="240"/>
      <c r="X140" s="119"/>
      <c r="Y140" s="95"/>
      <c r="Z140" s="95"/>
    </row>
    <row r="141" spans="1:26" s="241" customFormat="1" ht="60" customHeight="1" hidden="1">
      <c r="A141" s="242" t="s">
        <v>343</v>
      </c>
      <c r="B141" s="243" t="s">
        <v>349</v>
      </c>
      <c r="C141" s="246"/>
      <c r="D141" s="96"/>
      <c r="E141" s="96"/>
      <c r="F141" s="240"/>
      <c r="G141" s="240"/>
      <c r="H141" s="240"/>
      <c r="I141" s="240"/>
      <c r="J141" s="240"/>
      <c r="K141" s="240"/>
      <c r="L141" s="240"/>
      <c r="M141" s="240"/>
      <c r="N141" s="240"/>
      <c r="O141" s="240"/>
      <c r="P141" s="240"/>
      <c r="Q141" s="240"/>
      <c r="R141" s="240"/>
      <c r="S141" s="240"/>
      <c r="T141" s="240"/>
      <c r="U141" s="240"/>
      <c r="V141" s="240"/>
      <c r="W141" s="240"/>
      <c r="X141" s="119"/>
      <c r="Y141" s="95"/>
      <c r="Z141" s="95"/>
    </row>
    <row r="142" spans="1:26" s="241" customFormat="1" ht="60" customHeight="1" hidden="1">
      <c r="A142" s="242" t="s">
        <v>344</v>
      </c>
      <c r="B142" s="243" t="s">
        <v>350</v>
      </c>
      <c r="C142" s="246"/>
      <c r="D142" s="96"/>
      <c r="E142" s="96"/>
      <c r="F142" s="240"/>
      <c r="G142" s="240"/>
      <c r="H142" s="240"/>
      <c r="I142" s="240"/>
      <c r="J142" s="240"/>
      <c r="K142" s="240"/>
      <c r="L142" s="240"/>
      <c r="M142" s="240"/>
      <c r="N142" s="240"/>
      <c r="O142" s="240"/>
      <c r="P142" s="240"/>
      <c r="Q142" s="240"/>
      <c r="R142" s="240"/>
      <c r="S142" s="240"/>
      <c r="T142" s="240"/>
      <c r="U142" s="240"/>
      <c r="V142" s="240"/>
      <c r="W142" s="240"/>
      <c r="X142" s="119"/>
      <c r="Y142" s="95"/>
      <c r="Z142" s="95"/>
    </row>
    <row r="143" spans="1:26" s="237" customFormat="1" ht="51" customHeight="1" hidden="1">
      <c r="A143" s="250" t="s">
        <v>504</v>
      </c>
      <c r="B143" s="251" t="s">
        <v>505</v>
      </c>
      <c r="C143" s="249"/>
      <c r="D143" s="89"/>
      <c r="E143" s="89"/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236"/>
      <c r="V143" s="236"/>
      <c r="W143" s="236"/>
      <c r="X143" s="117"/>
      <c r="Y143" s="95"/>
      <c r="Z143" s="95"/>
    </row>
    <row r="144" spans="1:26" s="237" customFormat="1" ht="53.25" customHeight="1" hidden="1">
      <c r="A144" s="250" t="s">
        <v>506</v>
      </c>
      <c r="B144" s="251" t="s">
        <v>507</v>
      </c>
      <c r="C144" s="249"/>
      <c r="D144" s="89"/>
      <c r="E144" s="89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236"/>
      <c r="X144" s="117"/>
      <c r="Y144" s="95"/>
      <c r="Z144" s="95"/>
    </row>
    <row r="145" spans="1:26" s="237" customFormat="1" ht="65.25" customHeight="1">
      <c r="A145" s="244" t="s">
        <v>321</v>
      </c>
      <c r="B145" s="58" t="s">
        <v>326</v>
      </c>
      <c r="C145" s="249"/>
      <c r="D145" s="89"/>
      <c r="E145" s="89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236"/>
      <c r="X145" s="117"/>
      <c r="Y145" s="95">
        <v>244.5</v>
      </c>
      <c r="Z145" s="95">
        <v>244.5</v>
      </c>
    </row>
    <row r="146" spans="1:26" s="237" customFormat="1" ht="67.5" customHeight="1">
      <c r="A146" s="244" t="s">
        <v>322</v>
      </c>
      <c r="B146" s="58" t="s">
        <v>325</v>
      </c>
      <c r="C146" s="249"/>
      <c r="D146" s="89"/>
      <c r="E146" s="89"/>
      <c r="F146" s="236"/>
      <c r="G146" s="236"/>
      <c r="H146" s="236"/>
      <c r="I146" s="236"/>
      <c r="J146" s="236"/>
      <c r="K146" s="236"/>
      <c r="L146" s="236"/>
      <c r="M146" s="236"/>
      <c r="N146" s="236"/>
      <c r="O146" s="236"/>
      <c r="P146" s="236"/>
      <c r="Q146" s="236"/>
      <c r="R146" s="236"/>
      <c r="S146" s="236"/>
      <c r="T146" s="236"/>
      <c r="U146" s="236"/>
      <c r="V146" s="236"/>
      <c r="W146" s="236"/>
      <c r="X146" s="117"/>
      <c r="Y146" s="95">
        <v>244.5</v>
      </c>
      <c r="Z146" s="95">
        <v>244.5</v>
      </c>
    </row>
    <row r="147" spans="1:26" s="237" customFormat="1" ht="15">
      <c r="A147" s="234" t="s">
        <v>466</v>
      </c>
      <c r="B147" s="235" t="s">
        <v>174</v>
      </c>
      <c r="C147" s="117">
        <f>C148</f>
        <v>17034.6</v>
      </c>
      <c r="D147" s="89">
        <v>1211.8</v>
      </c>
      <c r="E147" s="89">
        <v>1298.5</v>
      </c>
      <c r="F147" s="236" t="s">
        <v>388</v>
      </c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117">
        <v>33.7</v>
      </c>
      <c r="Y147" s="95">
        <v>13185</v>
      </c>
      <c r="Z147" s="95">
        <v>13185</v>
      </c>
    </row>
    <row r="148" spans="1:26" ht="30.75">
      <c r="A148" s="57" t="s">
        <v>467</v>
      </c>
      <c r="B148" s="55" t="s">
        <v>173</v>
      </c>
      <c r="C148" s="117">
        <v>17034.6</v>
      </c>
      <c r="D148" s="89">
        <v>1211.8</v>
      </c>
      <c r="E148" s="89">
        <v>1298.5</v>
      </c>
      <c r="F148" s="97">
        <v>11519.9</v>
      </c>
      <c r="G148" s="87">
        <v>1121.8</v>
      </c>
      <c r="H148" s="87" t="s">
        <v>461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4">
        <v>33.7</v>
      </c>
      <c r="Y148" s="95">
        <v>13185</v>
      </c>
      <c r="Z148" s="95">
        <v>13185</v>
      </c>
    </row>
    <row r="149" spans="1:26" ht="27.75" customHeight="1">
      <c r="A149" s="57" t="s">
        <v>468</v>
      </c>
      <c r="B149" s="55" t="s">
        <v>162</v>
      </c>
      <c r="C149" s="91">
        <f>C150+C152+C154+C158+C160+C164+C175+C177+C179+C181+C185+C193+C199+C166</f>
        <v>213418</v>
      </c>
      <c r="D149" s="91">
        <f>D150+D152+D154+D156+D158+D160+D164+D175+D177+D179+D181+D185+D193+D199</f>
        <v>217878.2</v>
      </c>
      <c r="E149" s="91">
        <f>E150+E152+E154+E156+E158+E160+E164+E175+E177+E179+E181+E185+E193+E199</f>
        <v>222531.89999999997</v>
      </c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4">
        <f>X158+X160+X173+X177+X191</f>
        <v>2562</v>
      </c>
      <c r="Y149" s="95">
        <f>Y166+Y177+Y179+Y181+Y199+Y191</f>
        <v>193155.40000000002</v>
      </c>
      <c r="Z149" s="95">
        <f>Z166+Z177+Z179+Z181+Z199+Z191</f>
        <v>193155.40000000002</v>
      </c>
    </row>
    <row r="150" spans="1:26" ht="46.5" hidden="1">
      <c r="A150" s="54" t="s">
        <v>469</v>
      </c>
      <c r="B150" s="58" t="s">
        <v>160</v>
      </c>
      <c r="C150" s="117">
        <v>7923.1</v>
      </c>
      <c r="D150" s="89">
        <v>8704.8</v>
      </c>
      <c r="E150" s="98">
        <v>9363.7</v>
      </c>
      <c r="F150" s="99"/>
      <c r="G150" s="100"/>
      <c r="H150" s="100"/>
      <c r="I150" s="100"/>
      <c r="J150" s="100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8"/>
      <c r="Y150" s="95" t="s">
        <v>388</v>
      </c>
      <c r="Z150" s="95" t="s">
        <v>388</v>
      </c>
    </row>
    <row r="151" spans="1:26" ht="46.5" hidden="1">
      <c r="A151" s="54" t="s">
        <v>470</v>
      </c>
      <c r="B151" s="58" t="s">
        <v>161</v>
      </c>
      <c r="C151" s="117">
        <v>7923.1</v>
      </c>
      <c r="D151" s="89">
        <v>8704.8</v>
      </c>
      <c r="E151" s="98">
        <v>9363.7</v>
      </c>
      <c r="F151" s="101"/>
      <c r="G151" s="102"/>
      <c r="H151" s="102"/>
      <c r="I151" s="100"/>
      <c r="J151" s="100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8"/>
      <c r="Y151" s="95" t="s">
        <v>388</v>
      </c>
      <c r="Z151" s="95" t="s">
        <v>388</v>
      </c>
    </row>
    <row r="152" spans="1:26" ht="46.5" hidden="1">
      <c r="A152" s="69" t="s">
        <v>457</v>
      </c>
      <c r="B152" s="80" t="s">
        <v>458</v>
      </c>
      <c r="C152" s="117">
        <v>120.3</v>
      </c>
      <c r="D152" s="89"/>
      <c r="E152" s="98"/>
      <c r="F152" s="102"/>
      <c r="G152" s="102"/>
      <c r="H152" s="102"/>
      <c r="I152" s="100"/>
      <c r="J152" s="100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8"/>
      <c r="Y152" s="95"/>
      <c r="Z152" s="95"/>
    </row>
    <row r="153" spans="1:26" ht="46.5" hidden="1">
      <c r="A153" s="69" t="s">
        <v>459</v>
      </c>
      <c r="B153" s="80" t="s">
        <v>159</v>
      </c>
      <c r="C153" s="117">
        <v>120.3</v>
      </c>
      <c r="D153" s="89"/>
      <c r="E153" s="98"/>
      <c r="F153" s="102"/>
      <c r="G153" s="102"/>
      <c r="H153" s="102"/>
      <c r="I153" s="100"/>
      <c r="J153" s="100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8"/>
      <c r="Y153" s="95"/>
      <c r="Z153" s="95"/>
    </row>
    <row r="154" spans="1:26" ht="62.25" hidden="1">
      <c r="A154" s="54" t="s">
        <v>471</v>
      </c>
      <c r="B154" s="58" t="s">
        <v>158</v>
      </c>
      <c r="C154" s="117">
        <v>182</v>
      </c>
      <c r="D154" s="89">
        <v>191</v>
      </c>
      <c r="E154" s="89">
        <v>191</v>
      </c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8"/>
      <c r="Y154" s="95" t="s">
        <v>388</v>
      </c>
      <c r="Z154" s="95" t="s">
        <v>388</v>
      </c>
    </row>
    <row r="155" spans="1:26" ht="62.25" hidden="1">
      <c r="A155" s="54" t="s">
        <v>472</v>
      </c>
      <c r="B155" s="58" t="s">
        <v>157</v>
      </c>
      <c r="C155" s="117">
        <v>182</v>
      </c>
      <c r="D155" s="89">
        <v>191</v>
      </c>
      <c r="E155" s="89">
        <v>191</v>
      </c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8"/>
      <c r="Y155" s="95" t="s">
        <v>388</v>
      </c>
      <c r="Z155" s="95" t="s">
        <v>388</v>
      </c>
    </row>
    <row r="156" spans="1:26" ht="62.25" hidden="1">
      <c r="A156" s="54" t="s">
        <v>473</v>
      </c>
      <c r="B156" s="58" t="s">
        <v>156</v>
      </c>
      <c r="C156" s="117"/>
      <c r="D156" s="89">
        <v>6.8</v>
      </c>
      <c r="E156" s="89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8"/>
      <c r="Y156" s="95"/>
      <c r="Z156" s="95"/>
    </row>
    <row r="157" spans="1:26" ht="62.25" hidden="1">
      <c r="A157" s="54" t="s">
        <v>474</v>
      </c>
      <c r="B157" s="58" t="s">
        <v>155</v>
      </c>
      <c r="C157" s="117"/>
      <c r="D157" s="89">
        <v>6.8</v>
      </c>
      <c r="E157" s="89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8"/>
      <c r="Y157" s="95"/>
      <c r="Z157" s="95"/>
    </row>
    <row r="158" spans="1:26" ht="46.5" hidden="1">
      <c r="A158" s="54" t="s">
        <v>475</v>
      </c>
      <c r="B158" s="58" t="s">
        <v>154</v>
      </c>
      <c r="C158" s="117">
        <v>5035</v>
      </c>
      <c r="D158" s="89">
        <v>5336</v>
      </c>
      <c r="E158" s="89">
        <v>5697</v>
      </c>
      <c r="F158" s="87" t="s">
        <v>388</v>
      </c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4">
        <v>-5035</v>
      </c>
      <c r="Y158" s="95"/>
      <c r="Z158" s="95"/>
    </row>
    <row r="159" spans="1:26" ht="46.5" hidden="1">
      <c r="A159" s="54" t="s">
        <v>476</v>
      </c>
      <c r="B159" s="58" t="s">
        <v>153</v>
      </c>
      <c r="C159" s="117">
        <v>5035</v>
      </c>
      <c r="D159" s="89">
        <v>5336</v>
      </c>
      <c r="E159" s="89">
        <v>5697</v>
      </c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4">
        <v>-5035</v>
      </c>
      <c r="Y159" s="95"/>
      <c r="Z159" s="95"/>
    </row>
    <row r="160" spans="1:26" ht="30.75" hidden="1">
      <c r="A160" s="54" t="s">
        <v>477</v>
      </c>
      <c r="B160" s="58" t="s">
        <v>152</v>
      </c>
      <c r="C160" s="117">
        <v>7806</v>
      </c>
      <c r="D160" s="89">
        <v>7806</v>
      </c>
      <c r="E160" s="89">
        <v>7806</v>
      </c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4">
        <v>-7806</v>
      </c>
      <c r="Y160" s="95"/>
      <c r="Z160" s="95"/>
    </row>
    <row r="161" spans="1:26" ht="30.75" hidden="1">
      <c r="A161" s="54" t="s">
        <v>478</v>
      </c>
      <c r="B161" s="58" t="s">
        <v>151</v>
      </c>
      <c r="C161" s="117">
        <v>7806</v>
      </c>
      <c r="D161" s="89">
        <v>7806</v>
      </c>
      <c r="E161" s="89">
        <v>7806</v>
      </c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4">
        <v>-7806</v>
      </c>
      <c r="Y161" s="95"/>
      <c r="Z161" s="95"/>
    </row>
    <row r="162" spans="1:26" ht="62.25" hidden="1">
      <c r="A162" s="54" t="s">
        <v>479</v>
      </c>
      <c r="B162" s="58" t="s">
        <v>480</v>
      </c>
      <c r="C162" s="119"/>
      <c r="D162" s="89"/>
      <c r="E162" s="96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8"/>
      <c r="Y162" s="95"/>
      <c r="Z162" s="95"/>
    </row>
    <row r="163" spans="1:26" ht="78" hidden="1">
      <c r="A163" s="54" t="s">
        <v>481</v>
      </c>
      <c r="B163" s="58" t="s">
        <v>482</v>
      </c>
      <c r="C163" s="119"/>
      <c r="D163" s="89"/>
      <c r="E163" s="96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8"/>
      <c r="Y163" s="95"/>
      <c r="Z163" s="95"/>
    </row>
    <row r="164" spans="1:26" ht="62.25" hidden="1">
      <c r="A164" s="54" t="s">
        <v>483</v>
      </c>
      <c r="B164" s="58" t="s">
        <v>150</v>
      </c>
      <c r="C164" s="117">
        <v>309</v>
      </c>
      <c r="D164" s="89">
        <v>330</v>
      </c>
      <c r="E164" s="89">
        <v>358</v>
      </c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8"/>
      <c r="Y164" s="95"/>
      <c r="Z164" s="95"/>
    </row>
    <row r="165" spans="1:26" ht="62.25" customHeight="1" hidden="1" thickBot="1">
      <c r="A165" s="54" t="s">
        <v>484</v>
      </c>
      <c r="B165" s="58" t="s">
        <v>149</v>
      </c>
      <c r="C165" s="117">
        <v>309</v>
      </c>
      <c r="D165" s="89">
        <v>330</v>
      </c>
      <c r="E165" s="89">
        <v>358</v>
      </c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8"/>
      <c r="Y165" s="95"/>
      <c r="Z165" s="95"/>
    </row>
    <row r="166" spans="1:26" ht="46.5">
      <c r="A166" s="54" t="s">
        <v>485</v>
      </c>
      <c r="B166" s="58" t="s">
        <v>486</v>
      </c>
      <c r="C166" s="117">
        <v>609.7</v>
      </c>
      <c r="D166" s="89"/>
      <c r="E166" s="89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8"/>
      <c r="Y166" s="95">
        <v>637.6</v>
      </c>
      <c r="Z166" s="95">
        <v>637.6</v>
      </c>
    </row>
    <row r="167" spans="1:26" ht="63" customHeight="1" thickBot="1">
      <c r="A167" s="54" t="s">
        <v>487</v>
      </c>
      <c r="B167" s="58" t="s">
        <v>488</v>
      </c>
      <c r="C167" s="117">
        <v>609.7</v>
      </c>
      <c r="D167" s="89"/>
      <c r="E167" s="89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8"/>
      <c r="Y167" s="95">
        <v>637.6</v>
      </c>
      <c r="Z167" s="95">
        <v>637.6</v>
      </c>
    </row>
    <row r="168" spans="1:26" ht="46.5" hidden="1">
      <c r="A168" s="54" t="s">
        <v>394</v>
      </c>
      <c r="B168" s="58" t="s">
        <v>395</v>
      </c>
      <c r="C168" s="96" t="s">
        <v>388</v>
      </c>
      <c r="D168" s="89"/>
      <c r="E168" s="96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8"/>
      <c r="Y168" s="95"/>
      <c r="Z168" s="95"/>
    </row>
    <row r="169" spans="1:26" ht="46.5" hidden="1">
      <c r="A169" s="54" t="s">
        <v>396</v>
      </c>
      <c r="B169" s="58" t="s">
        <v>397</v>
      </c>
      <c r="C169" s="96"/>
      <c r="D169" s="89"/>
      <c r="E169" s="96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8"/>
      <c r="Y169" s="95"/>
      <c r="Z169" s="95"/>
    </row>
    <row r="170" spans="1:26" ht="62.25" hidden="1">
      <c r="A170" s="54" t="s">
        <v>398</v>
      </c>
      <c r="B170" s="58" t="s">
        <v>399</v>
      </c>
      <c r="C170" s="96"/>
      <c r="D170" s="89"/>
      <c r="E170" s="96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8"/>
      <c r="Y170" s="95"/>
      <c r="Z170" s="95"/>
    </row>
    <row r="171" spans="1:26" ht="46.5" hidden="1">
      <c r="A171" s="54" t="s">
        <v>400</v>
      </c>
      <c r="B171" s="58" t="s">
        <v>401</v>
      </c>
      <c r="C171" s="96"/>
      <c r="D171" s="89"/>
      <c r="E171" s="96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8"/>
      <c r="Y171" s="95"/>
      <c r="Z171" s="95"/>
    </row>
    <row r="172" spans="1:26" ht="46.5" hidden="1">
      <c r="A172" s="54" t="s">
        <v>402</v>
      </c>
      <c r="B172" s="58" t="s">
        <v>403</v>
      </c>
      <c r="C172" s="96"/>
      <c r="D172" s="89"/>
      <c r="E172" s="96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8"/>
      <c r="Y172" s="95"/>
      <c r="Z172" s="95"/>
    </row>
    <row r="173" spans="1:26" ht="47.25" hidden="1" thickBot="1">
      <c r="A173" s="54" t="s">
        <v>400</v>
      </c>
      <c r="B173" s="58" t="s">
        <v>401</v>
      </c>
      <c r="C173" s="89"/>
      <c r="D173" s="89"/>
      <c r="E173" s="96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4">
        <v>1270</v>
      </c>
      <c r="Y173" s="95"/>
      <c r="Z173" s="95"/>
    </row>
    <row r="174" spans="1:26" ht="46.5" customHeight="1" hidden="1" thickBot="1">
      <c r="A174" s="54" t="s">
        <v>113</v>
      </c>
      <c r="B174" s="58" t="s">
        <v>403</v>
      </c>
      <c r="C174" s="89"/>
      <c r="D174" s="89"/>
      <c r="E174" s="96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4">
        <v>1270</v>
      </c>
      <c r="Y174" s="95"/>
      <c r="Z174" s="95"/>
    </row>
    <row r="175" spans="1:26" ht="0.75" customHeight="1" hidden="1">
      <c r="A175" s="54" t="s">
        <v>404</v>
      </c>
      <c r="B175" s="58" t="s">
        <v>405</v>
      </c>
      <c r="C175" s="95">
        <v>21076.5</v>
      </c>
      <c r="D175" s="89">
        <v>23696.8</v>
      </c>
      <c r="E175" s="95">
        <v>26066.5</v>
      </c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8"/>
      <c r="Y175" s="95"/>
      <c r="Z175" s="95"/>
    </row>
    <row r="176" spans="1:26" ht="47.25" hidden="1" thickBot="1">
      <c r="A176" s="54" t="s">
        <v>406</v>
      </c>
      <c r="B176" s="58" t="s">
        <v>148</v>
      </c>
      <c r="C176" s="95">
        <v>21076.5</v>
      </c>
      <c r="D176" s="89">
        <v>23696.8</v>
      </c>
      <c r="E176" s="95">
        <v>26066.5</v>
      </c>
      <c r="F176" s="87">
        <v>2679.6</v>
      </c>
      <c r="G176" s="87" t="s">
        <v>201</v>
      </c>
      <c r="H176" s="94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8"/>
      <c r="Y176" s="95"/>
      <c r="Z176" s="95"/>
    </row>
    <row r="177" spans="1:26" ht="46.5">
      <c r="A177" s="54" t="s">
        <v>407</v>
      </c>
      <c r="B177" s="58" t="s">
        <v>147</v>
      </c>
      <c r="C177" s="95">
        <v>147534.5</v>
      </c>
      <c r="D177" s="95">
        <f>F179+G179+I179+J179+K179+L179+M179+N179+F180+I180+J180+K180+L180</f>
        <v>145963.3</v>
      </c>
      <c r="E177" s="98">
        <f>F181+G181+I181+J181+K181+L181+M181+N181+F182+I182+J182+K182+L182</f>
        <v>148664.19999999998</v>
      </c>
      <c r="F177" s="103">
        <v>273</v>
      </c>
      <c r="G177" s="104">
        <v>114720.9</v>
      </c>
      <c r="H177" s="104">
        <v>0</v>
      </c>
      <c r="I177" s="104">
        <v>3164</v>
      </c>
      <c r="J177" s="104">
        <v>8151</v>
      </c>
      <c r="K177" s="104">
        <v>376</v>
      </c>
      <c r="L177" s="104">
        <v>1229</v>
      </c>
      <c r="M177" s="104">
        <v>8063</v>
      </c>
      <c r="N177" s="105">
        <v>3498</v>
      </c>
      <c r="O177" s="87"/>
      <c r="P177" s="87"/>
      <c r="Q177" s="87"/>
      <c r="R177" s="87"/>
      <c r="S177" s="87"/>
      <c r="T177" s="87"/>
      <c r="U177" s="87"/>
      <c r="V177" s="87"/>
      <c r="W177" s="87"/>
      <c r="X177" s="84">
        <v>11287</v>
      </c>
      <c r="Y177" s="95">
        <f>Y178</f>
        <v>191908.6</v>
      </c>
      <c r="Z177" s="95">
        <f>Z178</f>
        <v>191908.6</v>
      </c>
    </row>
    <row r="178" spans="1:26" ht="47.25" thickBot="1">
      <c r="A178" s="54" t="s">
        <v>408</v>
      </c>
      <c r="B178" s="58" t="s">
        <v>146</v>
      </c>
      <c r="C178" s="95">
        <v>147534.5</v>
      </c>
      <c r="D178" s="95">
        <v>145963.3</v>
      </c>
      <c r="E178" s="98">
        <v>148664.2</v>
      </c>
      <c r="F178" s="106">
        <v>2975</v>
      </c>
      <c r="G178" s="107"/>
      <c r="H178" s="107"/>
      <c r="I178" s="107">
        <v>807</v>
      </c>
      <c r="J178" s="107">
        <v>0.3</v>
      </c>
      <c r="K178" s="107">
        <v>1554</v>
      </c>
      <c r="L178" s="107">
        <v>43.7</v>
      </c>
      <c r="M178" s="107"/>
      <c r="N178" s="108"/>
      <c r="O178" s="87">
        <v>2011</v>
      </c>
      <c r="P178" s="87"/>
      <c r="Q178" s="87"/>
      <c r="R178" s="87"/>
      <c r="S178" s="87"/>
      <c r="T178" s="87"/>
      <c r="U178" s="87"/>
      <c r="V178" s="87"/>
      <c r="W178" s="87"/>
      <c r="X178" s="84">
        <v>11287</v>
      </c>
      <c r="Y178" s="95">
        <f>186473.6+5435</f>
        <v>191908.6</v>
      </c>
      <c r="Z178" s="95">
        <f>186473.6+5435</f>
        <v>191908.6</v>
      </c>
    </row>
    <row r="179" spans="1:26" ht="93">
      <c r="A179" s="54" t="s">
        <v>442</v>
      </c>
      <c r="B179" s="58" t="s">
        <v>145</v>
      </c>
      <c r="C179" s="117">
        <v>6554</v>
      </c>
      <c r="D179" s="89">
        <v>7092</v>
      </c>
      <c r="E179" s="98">
        <v>7652</v>
      </c>
      <c r="F179" s="109">
        <v>273</v>
      </c>
      <c r="G179" s="110">
        <v>114720.9</v>
      </c>
      <c r="H179" s="110"/>
      <c r="I179" s="110">
        <v>3736</v>
      </c>
      <c r="J179" s="110">
        <v>9084</v>
      </c>
      <c r="K179" s="110">
        <v>390</v>
      </c>
      <c r="L179" s="110">
        <v>771</v>
      </c>
      <c r="M179" s="110">
        <v>8264.4</v>
      </c>
      <c r="N179" s="111">
        <v>3344</v>
      </c>
      <c r="O179" s="87"/>
      <c r="P179" s="87"/>
      <c r="Q179" s="87"/>
      <c r="R179" s="87"/>
      <c r="S179" s="87"/>
      <c r="T179" s="87"/>
      <c r="U179" s="87"/>
      <c r="V179" s="87"/>
      <c r="W179" s="87"/>
      <c r="X179" s="88"/>
      <c r="Y179" s="95"/>
      <c r="Z179" s="95"/>
    </row>
    <row r="180" spans="1:26" ht="93.75" thickBot="1">
      <c r="A180" s="54" t="s">
        <v>443</v>
      </c>
      <c r="B180" s="58" t="s">
        <v>144</v>
      </c>
      <c r="C180" s="117">
        <v>6554</v>
      </c>
      <c r="D180" s="89">
        <v>7092</v>
      </c>
      <c r="E180" s="98">
        <v>7652</v>
      </c>
      <c r="F180" s="112">
        <v>2975</v>
      </c>
      <c r="G180" s="113"/>
      <c r="H180" s="113"/>
      <c r="I180" s="113">
        <v>807</v>
      </c>
      <c r="J180" s="113">
        <v>0.3</v>
      </c>
      <c r="K180" s="113">
        <v>1554</v>
      </c>
      <c r="L180" s="113">
        <v>43.7</v>
      </c>
      <c r="M180" s="113"/>
      <c r="N180" s="114"/>
      <c r="O180" s="87">
        <v>2012</v>
      </c>
      <c r="P180" s="87"/>
      <c r="Q180" s="87"/>
      <c r="R180" s="87"/>
      <c r="S180" s="87"/>
      <c r="T180" s="87"/>
      <c r="U180" s="87"/>
      <c r="V180" s="87"/>
      <c r="W180" s="87"/>
      <c r="X180" s="88"/>
      <c r="Y180" s="95"/>
      <c r="Z180" s="95"/>
    </row>
    <row r="181" spans="1:26" ht="62.25">
      <c r="A181" s="54" t="s">
        <v>444</v>
      </c>
      <c r="B181" s="58" t="s">
        <v>445</v>
      </c>
      <c r="C181" s="117">
        <v>12296.9</v>
      </c>
      <c r="D181" s="89">
        <v>14422.7</v>
      </c>
      <c r="E181" s="98">
        <v>14499.4</v>
      </c>
      <c r="F181" s="109">
        <v>273</v>
      </c>
      <c r="G181" s="110">
        <v>114720.9</v>
      </c>
      <c r="H181" s="110"/>
      <c r="I181" s="110">
        <v>4907</v>
      </c>
      <c r="J181" s="110">
        <v>10050</v>
      </c>
      <c r="K181" s="110">
        <v>437</v>
      </c>
      <c r="L181" s="110">
        <v>779</v>
      </c>
      <c r="M181" s="110">
        <v>8460.3</v>
      </c>
      <c r="N181" s="111">
        <v>3657</v>
      </c>
      <c r="O181" s="87"/>
      <c r="P181" s="87"/>
      <c r="Q181" s="87"/>
      <c r="R181" s="87"/>
      <c r="S181" s="87"/>
      <c r="T181" s="87"/>
      <c r="U181" s="87"/>
      <c r="V181" s="87"/>
      <c r="W181" s="87"/>
      <c r="X181" s="88"/>
      <c r="Y181" s="95"/>
      <c r="Z181" s="95"/>
    </row>
    <row r="182" spans="1:26" ht="45.75" customHeight="1" thickBot="1">
      <c r="A182" s="54" t="s">
        <v>446</v>
      </c>
      <c r="B182" s="58" t="s">
        <v>143</v>
      </c>
      <c r="C182" s="117">
        <v>12296.9</v>
      </c>
      <c r="D182" s="89">
        <v>14422.7</v>
      </c>
      <c r="E182" s="98">
        <v>14499.4</v>
      </c>
      <c r="F182" s="112">
        <v>2975</v>
      </c>
      <c r="G182" s="113"/>
      <c r="H182" s="113"/>
      <c r="I182" s="113">
        <v>807</v>
      </c>
      <c r="J182" s="113">
        <v>0.3</v>
      </c>
      <c r="K182" s="113">
        <v>1554</v>
      </c>
      <c r="L182" s="113">
        <v>43.7</v>
      </c>
      <c r="M182" s="113"/>
      <c r="N182" s="114"/>
      <c r="O182" s="87">
        <v>2013</v>
      </c>
      <c r="P182" s="87"/>
      <c r="Q182" s="87"/>
      <c r="R182" s="87"/>
      <c r="S182" s="87"/>
      <c r="T182" s="87"/>
      <c r="U182" s="87"/>
      <c r="V182" s="87"/>
      <c r="W182" s="87"/>
      <c r="X182" s="88"/>
      <c r="Y182" s="95"/>
      <c r="Z182" s="95"/>
    </row>
    <row r="183" spans="1:26" ht="93" hidden="1">
      <c r="A183" s="54" t="s">
        <v>447</v>
      </c>
      <c r="B183" s="58" t="s">
        <v>448</v>
      </c>
      <c r="C183" s="119"/>
      <c r="D183" s="89"/>
      <c r="E183" s="96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8"/>
      <c r="Y183" s="95"/>
      <c r="Z183" s="95"/>
    </row>
    <row r="184" spans="1:26" ht="93" hidden="1">
      <c r="A184" s="54" t="s">
        <v>449</v>
      </c>
      <c r="B184" s="58" t="s">
        <v>450</v>
      </c>
      <c r="C184" s="119"/>
      <c r="D184" s="89"/>
      <c r="E184" s="96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8"/>
      <c r="Y184" s="95"/>
      <c r="Z184" s="95"/>
    </row>
    <row r="185" spans="1:26" ht="93" hidden="1">
      <c r="A185" s="69" t="s">
        <v>447</v>
      </c>
      <c r="B185" s="70" t="s">
        <v>142</v>
      </c>
      <c r="C185" s="117">
        <v>647.7</v>
      </c>
      <c r="D185" s="89">
        <v>1009.7</v>
      </c>
      <c r="E185" s="89">
        <v>1118.1</v>
      </c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8"/>
      <c r="Y185" s="95"/>
      <c r="Z185" s="95"/>
    </row>
    <row r="186" spans="1:26" ht="77.25" customHeight="1" hidden="1">
      <c r="A186" s="69" t="s">
        <v>449</v>
      </c>
      <c r="B186" s="70" t="s">
        <v>141</v>
      </c>
      <c r="C186" s="117">
        <v>647.7</v>
      </c>
      <c r="D186" s="89">
        <v>1009.7</v>
      </c>
      <c r="E186" s="89">
        <v>1118.1</v>
      </c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8"/>
      <c r="Y186" s="95"/>
      <c r="Z186" s="95"/>
    </row>
    <row r="187" spans="1:26" ht="93" hidden="1">
      <c r="A187" s="54" t="s">
        <v>188</v>
      </c>
      <c r="B187" s="70" t="s">
        <v>114</v>
      </c>
      <c r="C187" s="89"/>
      <c r="D187" s="89"/>
      <c r="E187" s="89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8"/>
      <c r="Y187" s="95"/>
      <c r="Z187" s="95"/>
    </row>
    <row r="188" spans="1:26" ht="27.75" customHeight="1" hidden="1">
      <c r="A188" s="54" t="s">
        <v>189</v>
      </c>
      <c r="B188" s="70" t="s">
        <v>115</v>
      </c>
      <c r="C188" s="89"/>
      <c r="D188" s="89"/>
      <c r="E188" s="89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8"/>
      <c r="Y188" s="95"/>
      <c r="Z188" s="95"/>
    </row>
    <row r="189" spans="1:26" ht="30.75" hidden="1">
      <c r="A189" s="54" t="s">
        <v>190</v>
      </c>
      <c r="B189" s="70" t="s">
        <v>116</v>
      </c>
      <c r="C189" s="96"/>
      <c r="D189" s="89"/>
      <c r="E189" s="96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8"/>
      <c r="Y189" s="95"/>
      <c r="Z189" s="95"/>
    </row>
    <row r="190" spans="1:26" ht="30.75" hidden="1">
      <c r="A190" s="54" t="s">
        <v>191</v>
      </c>
      <c r="B190" s="70" t="s">
        <v>117</v>
      </c>
      <c r="C190" s="96"/>
      <c r="D190" s="89"/>
      <c r="E190" s="96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8"/>
      <c r="Y190" s="95"/>
      <c r="Z190" s="95"/>
    </row>
    <row r="191" spans="1:26" ht="30.75">
      <c r="A191" s="54" t="s">
        <v>190</v>
      </c>
      <c r="B191" s="70" t="s">
        <v>192</v>
      </c>
      <c r="C191" s="89"/>
      <c r="D191" s="89"/>
      <c r="E191" s="96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4">
        <v>2846</v>
      </c>
      <c r="Y191" s="95"/>
      <c r="Z191" s="95"/>
    </row>
    <row r="192" spans="1:26" ht="30.75">
      <c r="A192" s="54" t="s">
        <v>191</v>
      </c>
      <c r="B192" s="70" t="s">
        <v>192</v>
      </c>
      <c r="C192" s="89"/>
      <c r="D192" s="89"/>
      <c r="E192" s="96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4">
        <v>2846</v>
      </c>
      <c r="Y192" s="95"/>
      <c r="Z192" s="95"/>
    </row>
    <row r="193" spans="1:26" ht="78" hidden="1">
      <c r="A193" s="54" t="s">
        <v>199</v>
      </c>
      <c r="B193" s="58" t="s">
        <v>140</v>
      </c>
      <c r="C193" s="117">
        <v>2207.3</v>
      </c>
      <c r="D193" s="89">
        <v>2203.1</v>
      </c>
      <c r="E193" s="89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8"/>
      <c r="Y193" s="95"/>
      <c r="Z193" s="95"/>
    </row>
    <row r="194" spans="1:26" ht="62.25" customHeight="1" hidden="1">
      <c r="A194" s="54" t="s">
        <v>200</v>
      </c>
      <c r="B194" s="58" t="s">
        <v>139</v>
      </c>
      <c r="C194" s="117">
        <v>2207.3</v>
      </c>
      <c r="D194" s="89">
        <v>2203.1</v>
      </c>
      <c r="E194" s="89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8"/>
      <c r="Y194" s="95"/>
      <c r="Z194" s="95"/>
    </row>
    <row r="195" spans="1:26" ht="93" hidden="1">
      <c r="A195" s="69" t="s">
        <v>40</v>
      </c>
      <c r="B195" s="70" t="s">
        <v>41</v>
      </c>
      <c r="C195" s="119"/>
      <c r="D195" s="115"/>
      <c r="E195" s="115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8"/>
      <c r="Y195" s="95"/>
      <c r="Z195" s="95"/>
    </row>
    <row r="196" spans="1:26" ht="75.75" customHeight="1" hidden="1">
      <c r="A196" s="69" t="s">
        <v>43</v>
      </c>
      <c r="B196" s="70" t="s">
        <v>42</v>
      </c>
      <c r="C196" s="119"/>
      <c r="D196" s="115"/>
      <c r="E196" s="115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8"/>
      <c r="Y196" s="95"/>
      <c r="Z196" s="95"/>
    </row>
    <row r="197" spans="1:26" ht="15" hidden="1">
      <c r="A197" s="54" t="s">
        <v>236</v>
      </c>
      <c r="B197" s="58" t="s">
        <v>237</v>
      </c>
      <c r="C197" s="119">
        <v>10761.3</v>
      </c>
      <c r="D197" s="89">
        <v>10761.3</v>
      </c>
      <c r="E197" s="89">
        <v>10761.3</v>
      </c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8"/>
      <c r="Y197" s="95"/>
      <c r="Z197" s="95"/>
    </row>
    <row r="198" spans="1:26" ht="30.75" hidden="1">
      <c r="A198" s="54" t="s">
        <v>238</v>
      </c>
      <c r="B198" s="58" t="s">
        <v>239</v>
      </c>
      <c r="C198" s="119">
        <v>10761.3</v>
      </c>
      <c r="D198" s="89">
        <v>10761.3</v>
      </c>
      <c r="E198" s="89">
        <v>10761.3</v>
      </c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8"/>
      <c r="Y198" s="95"/>
      <c r="Z198" s="95"/>
    </row>
    <row r="199" spans="1:26" ht="93">
      <c r="A199" s="69" t="s">
        <v>106</v>
      </c>
      <c r="B199" s="80" t="s">
        <v>138</v>
      </c>
      <c r="C199" s="117">
        <v>1116</v>
      </c>
      <c r="D199" s="89">
        <v>1116</v>
      </c>
      <c r="E199" s="89">
        <v>1116</v>
      </c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8"/>
      <c r="Y199" s="95">
        <v>609.2</v>
      </c>
      <c r="Z199" s="95">
        <v>609.2</v>
      </c>
    </row>
    <row r="200" spans="1:26" ht="78" customHeight="1">
      <c r="A200" s="69" t="s">
        <v>107</v>
      </c>
      <c r="B200" s="80" t="s">
        <v>137</v>
      </c>
      <c r="C200" s="117">
        <v>1116</v>
      </c>
      <c r="D200" s="89">
        <v>1116</v>
      </c>
      <c r="E200" s="89">
        <v>1116</v>
      </c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8"/>
      <c r="Y200" s="95">
        <v>609.2</v>
      </c>
      <c r="Z200" s="95">
        <v>609.2</v>
      </c>
    </row>
    <row r="201" spans="1:26" ht="15" hidden="1">
      <c r="A201" s="57" t="s">
        <v>240</v>
      </c>
      <c r="B201" s="55" t="s">
        <v>241</v>
      </c>
      <c r="C201" s="92"/>
      <c r="D201" s="92"/>
      <c r="E201" s="92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8"/>
      <c r="Y201" s="95"/>
      <c r="Z201" s="95"/>
    </row>
    <row r="202" spans="1:26" ht="30.75" hidden="1">
      <c r="A202" s="57" t="s">
        <v>242</v>
      </c>
      <c r="B202" s="55" t="s">
        <v>243</v>
      </c>
      <c r="C202" s="92"/>
      <c r="D202" s="92"/>
      <c r="E202" s="92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8"/>
      <c r="Y202" s="95"/>
      <c r="Z202" s="95"/>
    </row>
    <row r="203" spans="1:26" ht="46.5" hidden="1">
      <c r="A203" s="57" t="s">
        <v>244</v>
      </c>
      <c r="B203" s="55" t="s">
        <v>245</v>
      </c>
      <c r="C203" s="91"/>
      <c r="D203" s="91"/>
      <c r="E203" s="91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95"/>
      <c r="Z203" s="95"/>
    </row>
    <row r="204" spans="1:26" ht="15" hidden="1">
      <c r="A204" s="57" t="s">
        <v>246</v>
      </c>
      <c r="B204" s="55" t="s">
        <v>247</v>
      </c>
      <c r="C204" s="89"/>
      <c r="D204" s="89"/>
      <c r="E204" s="89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8"/>
      <c r="Y204" s="95"/>
      <c r="Z204" s="95"/>
    </row>
    <row r="205" spans="1:26" ht="15" hidden="1">
      <c r="A205" s="54" t="s">
        <v>248</v>
      </c>
      <c r="B205" s="58" t="s">
        <v>249</v>
      </c>
      <c r="C205" s="89"/>
      <c r="D205" s="89"/>
      <c r="E205" s="89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8"/>
      <c r="Y205" s="95"/>
      <c r="Z205" s="95"/>
    </row>
    <row r="206" spans="1:26" ht="46.5" hidden="1">
      <c r="A206" s="54" t="s">
        <v>250</v>
      </c>
      <c r="B206" s="58" t="s">
        <v>251</v>
      </c>
      <c r="C206" s="89"/>
      <c r="D206" s="89"/>
      <c r="E206" s="89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8"/>
      <c r="Y206" s="95"/>
      <c r="Z206" s="95"/>
    </row>
    <row r="207" spans="1:26" ht="46.5" hidden="1">
      <c r="A207" s="57" t="s">
        <v>252</v>
      </c>
      <c r="B207" s="55" t="s">
        <v>253</v>
      </c>
      <c r="C207" s="116">
        <v>75</v>
      </c>
      <c r="D207" s="116">
        <f>D208</f>
        <v>85</v>
      </c>
      <c r="E207" s="91">
        <v>75</v>
      </c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8"/>
      <c r="Y207" s="95"/>
      <c r="Z207" s="95"/>
    </row>
    <row r="208" spans="1:26" ht="15" hidden="1">
      <c r="A208" s="54" t="s">
        <v>254</v>
      </c>
      <c r="B208" s="58" t="s">
        <v>255</v>
      </c>
      <c r="C208" s="96">
        <v>75</v>
      </c>
      <c r="D208" s="96">
        <v>85</v>
      </c>
      <c r="E208" s="89">
        <v>75</v>
      </c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95"/>
      <c r="Z208" s="95"/>
    </row>
    <row r="209" spans="1:26" ht="46.5" hidden="1">
      <c r="A209" s="54" t="s">
        <v>256</v>
      </c>
      <c r="B209" s="58" t="s">
        <v>257</v>
      </c>
      <c r="C209" s="96">
        <v>75</v>
      </c>
      <c r="D209" s="96">
        <v>85</v>
      </c>
      <c r="E209" s="89">
        <v>75</v>
      </c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8"/>
      <c r="Y209" s="95"/>
      <c r="Z209" s="95"/>
    </row>
    <row r="210" spans="1:26" ht="15" hidden="1">
      <c r="A210" s="54" t="s">
        <v>353</v>
      </c>
      <c r="B210" s="25" t="s">
        <v>354</v>
      </c>
      <c r="C210" s="96"/>
      <c r="D210" s="96"/>
      <c r="E210" s="89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8"/>
      <c r="Y210" s="95"/>
      <c r="Z210" s="95"/>
    </row>
    <row r="211" spans="1:26" ht="78" hidden="1">
      <c r="A211" s="54" t="s">
        <v>119</v>
      </c>
      <c r="B211" s="25" t="s">
        <v>120</v>
      </c>
      <c r="C211" s="89"/>
      <c r="D211" s="96"/>
      <c r="E211" s="89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4">
        <v>1655</v>
      </c>
      <c r="Y211" s="95"/>
      <c r="Z211" s="95"/>
    </row>
    <row r="212" spans="1:26" ht="78" hidden="1">
      <c r="A212" s="54" t="s">
        <v>118</v>
      </c>
      <c r="B212" s="25" t="s">
        <v>121</v>
      </c>
      <c r="C212" s="89"/>
      <c r="D212" s="96"/>
      <c r="E212" s="89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4">
        <v>1655</v>
      </c>
      <c r="Y212" s="95"/>
      <c r="Z212" s="95"/>
    </row>
    <row r="213" spans="1:26" ht="62.25" hidden="1">
      <c r="A213" s="86" t="s">
        <v>345</v>
      </c>
      <c r="B213" s="123" t="s">
        <v>355</v>
      </c>
      <c r="C213" s="89"/>
      <c r="D213" s="96"/>
      <c r="E213" s="89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4"/>
      <c r="Y213" s="95"/>
      <c r="Z213" s="95"/>
    </row>
    <row r="214" spans="1:26" ht="62.25" hidden="1">
      <c r="A214" s="86" t="s">
        <v>346</v>
      </c>
      <c r="B214" s="123" t="s">
        <v>356</v>
      </c>
      <c r="C214" s="89"/>
      <c r="D214" s="96"/>
      <c r="E214" s="89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4"/>
      <c r="Y214" s="95"/>
      <c r="Z214" s="95"/>
    </row>
    <row r="215" spans="1:26" ht="46.5" hidden="1">
      <c r="A215" s="86" t="s">
        <v>282</v>
      </c>
      <c r="B215" s="123" t="s">
        <v>357</v>
      </c>
      <c r="C215" s="89"/>
      <c r="D215" s="96"/>
      <c r="E215" s="89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4"/>
      <c r="Y215" s="95"/>
      <c r="Z215" s="95"/>
    </row>
    <row r="216" spans="1:26" ht="62.25" hidden="1">
      <c r="A216" s="86" t="s">
        <v>283</v>
      </c>
      <c r="B216" s="123" t="s">
        <v>358</v>
      </c>
      <c r="C216" s="89"/>
      <c r="D216" s="96"/>
      <c r="E216" s="89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4"/>
      <c r="Y216" s="95"/>
      <c r="Z216" s="95"/>
    </row>
    <row r="217" spans="1:26" ht="93" hidden="1">
      <c r="A217" s="86" t="s">
        <v>284</v>
      </c>
      <c r="B217" s="123" t="s">
        <v>359</v>
      </c>
      <c r="C217" s="89"/>
      <c r="D217" s="96"/>
      <c r="E217" s="89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4"/>
      <c r="Y217" s="95"/>
      <c r="Z217" s="95"/>
    </row>
    <row r="218" spans="1:26" ht="78" hidden="1">
      <c r="A218" s="86" t="s">
        <v>285</v>
      </c>
      <c r="B218" s="123" t="s">
        <v>360</v>
      </c>
      <c r="C218" s="89"/>
      <c r="D218" s="96"/>
      <c r="E218" s="89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4"/>
      <c r="Y218" s="95"/>
      <c r="Z218" s="95"/>
    </row>
    <row r="219" spans="1:26" ht="62.25" hidden="1">
      <c r="A219" s="86" t="s">
        <v>286</v>
      </c>
      <c r="B219" s="123" t="s">
        <v>361</v>
      </c>
      <c r="C219" s="89"/>
      <c r="D219" s="96"/>
      <c r="E219" s="89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4"/>
      <c r="Y219" s="95"/>
      <c r="Z219" s="95"/>
    </row>
    <row r="220" spans="1:26" ht="62.25" hidden="1">
      <c r="A220" s="86" t="s">
        <v>287</v>
      </c>
      <c r="B220" s="123" t="s">
        <v>362</v>
      </c>
      <c r="C220" s="89"/>
      <c r="D220" s="96"/>
      <c r="E220" s="89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4"/>
      <c r="Y220" s="95"/>
      <c r="Z220" s="95"/>
    </row>
    <row r="221" spans="1:26" ht="62.25" hidden="1">
      <c r="A221" s="86" t="s">
        <v>288</v>
      </c>
      <c r="B221" s="123" t="s">
        <v>363</v>
      </c>
      <c r="C221" s="89"/>
      <c r="D221" s="96"/>
      <c r="E221" s="89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4"/>
      <c r="Y221" s="95"/>
      <c r="Z221" s="95"/>
    </row>
    <row r="222" spans="1:26" ht="62.25" hidden="1">
      <c r="A222" s="86" t="s">
        <v>289</v>
      </c>
      <c r="B222" s="123" t="s">
        <v>364</v>
      </c>
      <c r="C222" s="89"/>
      <c r="D222" s="96"/>
      <c r="E222" s="89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4"/>
      <c r="Y222" s="95"/>
      <c r="Z222" s="95"/>
    </row>
    <row r="223" spans="1:26" ht="15" hidden="1">
      <c r="A223" s="126" t="s">
        <v>438</v>
      </c>
      <c r="B223" s="127" t="s">
        <v>439</v>
      </c>
      <c r="C223" s="89"/>
      <c r="D223" s="96"/>
      <c r="E223" s="89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4"/>
      <c r="Y223" s="95">
        <f>Y224</f>
        <v>0</v>
      </c>
      <c r="Z223" s="95">
        <f>Z224</f>
        <v>0</v>
      </c>
    </row>
    <row r="224" spans="1:26" ht="98.25" customHeight="1" hidden="1">
      <c r="A224" s="126" t="s">
        <v>119</v>
      </c>
      <c r="B224" s="127" t="s">
        <v>440</v>
      </c>
      <c r="C224" s="89"/>
      <c r="D224" s="96"/>
      <c r="E224" s="89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4"/>
      <c r="Y224" s="95"/>
      <c r="Z224" s="95"/>
    </row>
    <row r="225" spans="1:26" ht="104.25" customHeight="1" hidden="1">
      <c r="A225" s="126" t="s">
        <v>118</v>
      </c>
      <c r="B225" s="127" t="s">
        <v>441</v>
      </c>
      <c r="C225" s="89"/>
      <c r="D225" s="96"/>
      <c r="E225" s="89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4"/>
      <c r="Y225" s="95"/>
      <c r="Z225" s="95"/>
    </row>
    <row r="226" spans="1:26" ht="73.5" customHeight="1" hidden="1">
      <c r="A226" s="86" t="s">
        <v>288</v>
      </c>
      <c r="B226" s="123" t="s">
        <v>363</v>
      </c>
      <c r="C226" s="89"/>
      <c r="D226" s="96"/>
      <c r="E226" s="89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4"/>
      <c r="Y226" s="95"/>
      <c r="Z226" s="95"/>
    </row>
    <row r="227" spans="1:26" ht="63.75" customHeight="1" hidden="1">
      <c r="A227" s="86" t="s">
        <v>289</v>
      </c>
      <c r="B227" s="123" t="s">
        <v>364</v>
      </c>
      <c r="C227" s="89"/>
      <c r="D227" s="96"/>
      <c r="E227" s="89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4"/>
      <c r="Y227" s="95"/>
      <c r="Z227" s="95"/>
    </row>
    <row r="228" spans="1:26" ht="18" customHeight="1">
      <c r="A228" s="57" t="s">
        <v>258</v>
      </c>
      <c r="B228" s="55"/>
      <c r="C228" s="91" t="e">
        <f>C9+C57+C103+C203</f>
        <v>#REF!</v>
      </c>
      <c r="D228" s="91" t="e">
        <f>D9+D57+D103+D203</f>
        <v>#REF!</v>
      </c>
      <c r="E228" s="91" t="e">
        <f>E9+E57+E103+E203</f>
        <v>#REF!</v>
      </c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4">
        <f>X8+X103</f>
        <v>7852</v>
      </c>
      <c r="Y228" s="95" t="e">
        <f>Y8+Y103</f>
        <v>#REF!</v>
      </c>
      <c r="Z228" s="95" t="e">
        <f>Z8+Z103</f>
        <v>#REF!</v>
      </c>
    </row>
    <row r="229" spans="1:26" ht="49.5" customHeight="1">
      <c r="A229" s="57" t="s">
        <v>508</v>
      </c>
      <c r="B229" s="55"/>
      <c r="C229" s="91" t="e">
        <f>C8+C203+C201</f>
        <v>#REF!</v>
      </c>
      <c r="D229" s="91" t="e">
        <f>D8+D203+D201</f>
        <v>#REF!</v>
      </c>
      <c r="E229" s="91" t="e">
        <f>E8+E203+E201</f>
        <v>#REF!</v>
      </c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4">
        <v>3635</v>
      </c>
      <c r="Y229" s="95" t="e">
        <f>Y8</f>
        <v>#REF!</v>
      </c>
      <c r="Z229" s="95" t="e">
        <f>Z8</f>
        <v>#REF!</v>
      </c>
    </row>
    <row r="230" spans="1:26" ht="33.75" customHeight="1" hidden="1">
      <c r="A230" s="46"/>
      <c r="C230" s="78" t="e">
        <f>C229*5%</f>
        <v>#REF!</v>
      </c>
      <c r="D230" s="78" t="e">
        <f>D229*5%</f>
        <v>#REF!</v>
      </c>
      <c r="E230" s="78" t="e">
        <f>E229*5%</f>
        <v>#REF!</v>
      </c>
      <c r="X230" s="60"/>
      <c r="Y230" s="253" t="e">
        <f>Y229*5%</f>
        <v>#REF!</v>
      </c>
      <c r="Z230" s="253" t="e">
        <f>Z229*5%</f>
        <v>#REF!</v>
      </c>
    </row>
    <row r="231" spans="1:26" ht="18" hidden="1">
      <c r="A231" s="46"/>
      <c r="C231" s="79" t="e">
        <f>C228+C230</f>
        <v>#REF!</v>
      </c>
      <c r="D231" s="79" t="e">
        <f>D228+D230</f>
        <v>#REF!</v>
      </c>
      <c r="E231" s="79" t="e">
        <f>E228+E230</f>
        <v>#REF!</v>
      </c>
      <c r="X231" s="83"/>
      <c r="Y231" s="253" t="e">
        <f>Y228+Y230</f>
        <v>#REF!</v>
      </c>
      <c r="Z231" s="253" t="e">
        <f>Z228+Z230</f>
        <v>#REF!</v>
      </c>
    </row>
    <row r="232" spans="1:25" ht="15" hidden="1">
      <c r="A232" s="46"/>
      <c r="B232" s="59"/>
      <c r="C232" s="48"/>
      <c r="D232" s="48"/>
      <c r="E232" s="48"/>
      <c r="X232" s="60"/>
      <c r="Y232" s="255">
        <f>Y103-Y149</f>
        <v>80662</v>
      </c>
    </row>
    <row r="233" spans="1:25" ht="15" hidden="1">
      <c r="A233" s="46"/>
      <c r="C233" s="48"/>
      <c r="D233" s="48"/>
      <c r="E233" s="48"/>
      <c r="X233" s="60"/>
      <c r="Y233" s="253" t="e">
        <f>Y229/Y228*100</f>
        <v>#REF!</v>
      </c>
    </row>
    <row r="234" spans="1:25" ht="15" hidden="1">
      <c r="A234" s="46"/>
      <c r="C234" s="48"/>
      <c r="D234" s="48"/>
      <c r="E234" s="48"/>
      <c r="X234" s="83">
        <v>403346.35</v>
      </c>
      <c r="Y234" s="255" t="e">
        <f>Y228-Y149</f>
        <v>#REF!</v>
      </c>
    </row>
    <row r="235" spans="1:25" ht="15" hidden="1">
      <c r="A235" s="46"/>
      <c r="C235" s="48"/>
      <c r="D235" s="48"/>
      <c r="E235" s="48"/>
      <c r="X235" s="60">
        <v>7852</v>
      </c>
      <c r="Y235" s="61">
        <v>3000</v>
      </c>
    </row>
    <row r="236" spans="1:26" ht="15" hidden="1">
      <c r="A236" s="46"/>
      <c r="C236" s="48"/>
      <c r="D236" s="48"/>
      <c r="E236" s="48"/>
      <c r="X236" s="60">
        <v>3207.4</v>
      </c>
      <c r="Y236" s="61" t="e">
        <f>Y229*4.4%</f>
        <v>#REF!</v>
      </c>
      <c r="Z236" s="253" t="e">
        <f>Z229*4.3%</f>
        <v>#REF!</v>
      </c>
    </row>
    <row r="237" spans="1:26" ht="15" hidden="1">
      <c r="A237" s="46"/>
      <c r="C237" s="77"/>
      <c r="D237" s="48"/>
      <c r="E237" s="48"/>
      <c r="X237" s="60">
        <v>6850.96</v>
      </c>
      <c r="Y237" s="61">
        <v>4145.39</v>
      </c>
      <c r="Z237" s="56">
        <v>4172.5</v>
      </c>
    </row>
    <row r="238" spans="1:26" ht="15" hidden="1">
      <c r="A238" s="62"/>
      <c r="B238" s="63"/>
      <c r="C238" s="65"/>
      <c r="D238" s="65"/>
      <c r="E238" s="64"/>
      <c r="X238" s="83">
        <f>X234+X235+X236+X237</f>
        <v>421256.71</v>
      </c>
      <c r="Y238" s="255" t="e">
        <f>Y229-45000</f>
        <v>#REF!</v>
      </c>
      <c r="Z238" s="255" t="e">
        <f>Z229-45000</f>
        <v>#REF!</v>
      </c>
    </row>
    <row r="239" spans="1:26" ht="15" hidden="1">
      <c r="A239" s="67"/>
      <c r="B239" s="63"/>
      <c r="C239" s="65"/>
      <c r="D239" s="65"/>
      <c r="E239" s="65"/>
      <c r="X239" s="60"/>
      <c r="Y239" s="253" t="e">
        <f>Y238*5%</f>
        <v>#REF!</v>
      </c>
      <c r="Z239" s="253" t="e">
        <f>Z238*5%</f>
        <v>#REF!</v>
      </c>
    </row>
    <row r="240" spans="1:26" ht="15" hidden="1">
      <c r="A240" s="67"/>
      <c r="B240" s="63"/>
      <c r="C240" s="65"/>
      <c r="D240" s="65"/>
      <c r="E240" s="65"/>
      <c r="X240" s="60"/>
      <c r="Y240" s="255" t="e">
        <f>Y228+Y239</f>
        <v>#REF!</v>
      </c>
      <c r="Z240" s="83" t="e">
        <f>Z228+Z239</f>
        <v>#REF!</v>
      </c>
    </row>
    <row r="241" spans="1:26" ht="15" hidden="1">
      <c r="A241" s="62"/>
      <c r="B241" s="63"/>
      <c r="C241" s="65"/>
      <c r="D241" s="65"/>
      <c r="E241" s="65"/>
      <c r="X241" s="60"/>
      <c r="Y241" s="253" t="e">
        <f>Y239/Y229*100</f>
        <v>#REF!</v>
      </c>
      <c r="Z241" s="253" t="e">
        <f>Z239/Z229*100</f>
        <v>#REF!</v>
      </c>
    </row>
    <row r="242" spans="1:25" ht="15" hidden="1">
      <c r="A242" s="62"/>
      <c r="B242" s="63"/>
      <c r="C242" s="65"/>
      <c r="D242" s="65"/>
      <c r="E242" s="64"/>
      <c r="X242" s="60"/>
      <c r="Y242" s="61"/>
    </row>
    <row r="243" spans="1:25" ht="15" hidden="1">
      <c r="A243" s="62"/>
      <c r="B243" s="65"/>
      <c r="C243" s="68"/>
      <c r="D243" s="65"/>
      <c r="E243" s="68"/>
      <c r="X243" s="60"/>
      <c r="Y243" s="61"/>
    </row>
    <row r="244" spans="1:25" ht="15">
      <c r="A244" s="62"/>
      <c r="B244" s="63"/>
      <c r="C244" s="65"/>
      <c r="D244" s="65"/>
      <c r="E244" s="64"/>
      <c r="X244" s="60"/>
      <c r="Y244" s="61"/>
    </row>
    <row r="245" spans="1:25" ht="15">
      <c r="A245" s="62"/>
      <c r="B245" s="63"/>
      <c r="C245" s="68"/>
      <c r="D245" s="65"/>
      <c r="E245" s="66"/>
      <c r="X245" s="60"/>
      <c r="Y245" s="61"/>
    </row>
    <row r="246" spans="1:25" ht="15">
      <c r="A246" s="62"/>
      <c r="B246" s="65"/>
      <c r="C246" s="68"/>
      <c r="D246" s="68"/>
      <c r="E246" s="68"/>
      <c r="X246" s="60"/>
      <c r="Y246" s="61"/>
    </row>
    <row r="247" spans="1:25" ht="15">
      <c r="A247" s="46"/>
      <c r="C247" s="61"/>
      <c r="D247" s="61"/>
      <c r="E247" s="60"/>
      <c r="X247" s="60"/>
      <c r="Y247" s="61"/>
    </row>
    <row r="248" spans="1:25" ht="15">
      <c r="A248" s="46"/>
      <c r="C248" s="60"/>
      <c r="D248" s="61"/>
      <c r="E248" s="60"/>
      <c r="X248" s="60"/>
      <c r="Y248" s="61"/>
    </row>
    <row r="249" spans="1:25" ht="15">
      <c r="A249" s="46"/>
      <c r="C249" s="60"/>
      <c r="D249" s="61"/>
      <c r="E249" s="60"/>
      <c r="X249" s="60"/>
      <c r="Y249" s="61"/>
    </row>
    <row r="250" spans="1:25" ht="15">
      <c r="A250" s="46"/>
      <c r="C250" s="60"/>
      <c r="D250" s="61"/>
      <c r="E250" s="60"/>
      <c r="X250" s="60"/>
      <c r="Y250" s="61"/>
    </row>
    <row r="251" spans="1:25" ht="15">
      <c r="A251" s="46"/>
      <c r="C251" s="60"/>
      <c r="D251" s="61"/>
      <c r="E251" s="60"/>
      <c r="X251" s="60"/>
      <c r="Y251" s="61"/>
    </row>
    <row r="252" spans="1:25" ht="15">
      <c r="A252" s="46"/>
      <c r="C252" s="60"/>
      <c r="D252" s="61"/>
      <c r="E252" s="60"/>
      <c r="X252" s="60"/>
      <c r="Y252" s="61"/>
    </row>
    <row r="253" spans="1:25" ht="15">
      <c r="A253" s="46"/>
      <c r="C253" s="60"/>
      <c r="D253" s="61"/>
      <c r="E253" s="60"/>
      <c r="X253" s="60"/>
      <c r="Y253" s="61"/>
    </row>
    <row r="254" spans="1:25" ht="15">
      <c r="A254" s="46"/>
      <c r="C254" s="60"/>
      <c r="D254" s="61"/>
      <c r="E254" s="60"/>
      <c r="X254" s="60"/>
      <c r="Y254" s="61"/>
    </row>
    <row r="255" spans="1:25" ht="15">
      <c r="A255" s="46"/>
      <c r="C255" s="60"/>
      <c r="D255" s="61"/>
      <c r="E255" s="60"/>
      <c r="X255" s="60"/>
      <c r="Y255" s="61"/>
    </row>
    <row r="256" spans="1:25" ht="15">
      <c r="A256" s="46"/>
      <c r="C256" s="60"/>
      <c r="D256" s="61"/>
      <c r="E256" s="60"/>
      <c r="X256" s="60"/>
      <c r="Y256" s="61"/>
    </row>
    <row r="257" spans="1:25" ht="15">
      <c r="A257" s="46"/>
      <c r="C257" s="60"/>
      <c r="D257" s="61"/>
      <c r="E257" s="60"/>
      <c r="X257" s="60"/>
      <c r="Y257" s="61"/>
    </row>
    <row r="258" spans="1:25" ht="15">
      <c r="A258" s="46"/>
      <c r="C258" s="60"/>
      <c r="D258" s="61"/>
      <c r="E258" s="60"/>
      <c r="Y258" s="237"/>
    </row>
    <row r="259" spans="1:25" ht="15">
      <c r="A259" s="46"/>
      <c r="C259" s="60"/>
      <c r="D259" s="61"/>
      <c r="E259" s="60"/>
      <c r="Y259" s="237"/>
    </row>
    <row r="260" spans="1:25" ht="15">
      <c r="A260" s="46"/>
      <c r="C260" s="60"/>
      <c r="D260" s="61"/>
      <c r="E260" s="60"/>
      <c r="Y260" s="237"/>
    </row>
    <row r="261" spans="1:25" ht="15">
      <c r="A261" s="46"/>
      <c r="C261" s="60"/>
      <c r="D261" s="61"/>
      <c r="E261" s="60"/>
      <c r="Y261" s="237"/>
    </row>
    <row r="262" spans="1:25" ht="15">
      <c r="A262" s="46"/>
      <c r="C262" s="60"/>
      <c r="D262" s="61"/>
      <c r="E262" s="60"/>
      <c r="Y262" s="237"/>
    </row>
    <row r="263" spans="1:25" ht="15">
      <c r="A263" s="46"/>
      <c r="C263" s="60"/>
      <c r="D263" s="61"/>
      <c r="E263" s="60"/>
      <c r="Y263" s="237"/>
    </row>
    <row r="264" spans="1:25" ht="15">
      <c r="A264" s="46"/>
      <c r="C264" s="60"/>
      <c r="D264" s="61"/>
      <c r="E264" s="60"/>
      <c r="Y264" s="237"/>
    </row>
    <row r="265" spans="1:25" ht="15">
      <c r="A265" s="46"/>
      <c r="C265" s="60"/>
      <c r="D265" s="61"/>
      <c r="E265" s="60"/>
      <c r="Y265" s="237"/>
    </row>
    <row r="266" spans="1:25" ht="15">
      <c r="A266" s="46"/>
      <c r="C266" s="60"/>
      <c r="D266" s="61"/>
      <c r="E266" s="60"/>
      <c r="Y266" s="237"/>
    </row>
    <row r="267" spans="1:25" ht="15">
      <c r="A267" s="46"/>
      <c r="C267" s="60"/>
      <c r="D267" s="61"/>
      <c r="E267" s="60"/>
      <c r="Y267" s="237"/>
    </row>
    <row r="268" spans="1:25" ht="15">
      <c r="A268" s="46"/>
      <c r="C268" s="60"/>
      <c r="D268" s="61"/>
      <c r="E268" s="60"/>
      <c r="Y268" s="237"/>
    </row>
    <row r="269" spans="1:25" ht="15">
      <c r="A269" s="46"/>
      <c r="C269" s="60"/>
      <c r="D269" s="61"/>
      <c r="E269" s="60"/>
      <c r="Y269" s="237"/>
    </row>
    <row r="270" spans="1:25" ht="15">
      <c r="A270" s="46"/>
      <c r="C270" s="60"/>
      <c r="D270" s="61"/>
      <c r="E270" s="60"/>
      <c r="Y270" s="237"/>
    </row>
    <row r="271" spans="1:25" ht="15">
      <c r="A271" s="46"/>
      <c r="C271" s="60"/>
      <c r="D271" s="61"/>
      <c r="E271" s="60"/>
      <c r="Y271" s="237"/>
    </row>
    <row r="272" spans="1:25" ht="15">
      <c r="A272" s="46"/>
      <c r="C272" s="60"/>
      <c r="D272" s="61"/>
      <c r="E272" s="60"/>
      <c r="Y272" s="237"/>
    </row>
    <row r="273" spans="1:25" ht="15">
      <c r="A273" s="46"/>
      <c r="C273" s="60"/>
      <c r="D273" s="61"/>
      <c r="E273" s="60"/>
      <c r="Y273" s="237"/>
    </row>
    <row r="274" spans="1:25" ht="15">
      <c r="A274" s="46"/>
      <c r="C274" s="60"/>
      <c r="D274" s="61"/>
      <c r="E274" s="60"/>
      <c r="Y274" s="237"/>
    </row>
    <row r="275" spans="1:25" ht="15">
      <c r="A275" s="46"/>
      <c r="C275" s="60"/>
      <c r="D275" s="61"/>
      <c r="E275" s="60"/>
      <c r="Y275" s="237"/>
    </row>
    <row r="276" spans="1:25" ht="15">
      <c r="A276" s="46"/>
      <c r="C276" s="60"/>
      <c r="D276" s="61"/>
      <c r="E276" s="60"/>
      <c r="Y276" s="237"/>
    </row>
    <row r="277" spans="1:25" ht="15">
      <c r="A277" s="46"/>
      <c r="C277" s="60"/>
      <c r="D277" s="61"/>
      <c r="E277" s="60"/>
      <c r="Y277" s="237"/>
    </row>
    <row r="278" spans="1:25" ht="15">
      <c r="A278" s="46"/>
      <c r="C278" s="60"/>
      <c r="D278" s="61"/>
      <c r="E278" s="60"/>
      <c r="Y278" s="237"/>
    </row>
    <row r="279" spans="1:25" ht="15">
      <c r="A279" s="46"/>
      <c r="C279" s="60"/>
      <c r="D279" s="61"/>
      <c r="E279" s="60"/>
      <c r="Y279" s="237"/>
    </row>
    <row r="280" spans="1:25" ht="15">
      <c r="A280" s="46"/>
      <c r="C280" s="60"/>
      <c r="D280" s="61"/>
      <c r="E280" s="60"/>
      <c r="Y280" s="237"/>
    </row>
    <row r="281" spans="1:25" ht="15">
      <c r="A281" s="46"/>
      <c r="C281" s="60"/>
      <c r="D281" s="61"/>
      <c r="E281" s="60"/>
      <c r="Y281" s="237"/>
    </row>
    <row r="282" spans="1:25" ht="15">
      <c r="A282" s="46"/>
      <c r="C282" s="60"/>
      <c r="D282" s="61"/>
      <c r="E282" s="60"/>
      <c r="Y282" s="237"/>
    </row>
    <row r="283" spans="1:25" ht="15">
      <c r="A283" s="46"/>
      <c r="C283" s="60"/>
      <c r="D283" s="61"/>
      <c r="E283" s="60"/>
      <c r="Y283" s="237"/>
    </row>
    <row r="284" spans="1:25" ht="15">
      <c r="A284" s="46"/>
      <c r="C284" s="60"/>
      <c r="D284" s="61"/>
      <c r="E284" s="60"/>
      <c r="Y284" s="237"/>
    </row>
    <row r="285" spans="1:25" ht="15">
      <c r="A285" s="46"/>
      <c r="C285" s="60"/>
      <c r="D285" s="61"/>
      <c r="E285" s="60"/>
      <c r="Y285" s="237"/>
    </row>
    <row r="286" spans="1:25" ht="15">
      <c r="A286" s="46"/>
      <c r="C286" s="60"/>
      <c r="D286" s="61"/>
      <c r="E286" s="60"/>
      <c r="Y286" s="237"/>
    </row>
    <row r="287" spans="1:25" ht="15">
      <c r="A287" s="46"/>
      <c r="C287" s="60"/>
      <c r="D287" s="61"/>
      <c r="E287" s="60"/>
      <c r="Y287" s="237"/>
    </row>
    <row r="288" spans="1:25" ht="15">
      <c r="A288" s="46"/>
      <c r="C288" s="60"/>
      <c r="D288" s="61"/>
      <c r="E288" s="60"/>
      <c r="Y288" s="237"/>
    </row>
    <row r="289" spans="1:25" ht="15">
      <c r="A289" s="46"/>
      <c r="C289" s="60"/>
      <c r="D289" s="61"/>
      <c r="E289" s="60"/>
      <c r="Y289" s="237"/>
    </row>
    <row r="290" spans="1:25" ht="15">
      <c r="A290" s="46"/>
      <c r="C290" s="60"/>
      <c r="D290" s="61"/>
      <c r="E290" s="60"/>
      <c r="Y290" s="237"/>
    </row>
    <row r="291" spans="1:25" ht="15">
      <c r="A291" s="46"/>
      <c r="C291" s="60"/>
      <c r="D291" s="61"/>
      <c r="E291" s="60"/>
      <c r="Y291" s="237"/>
    </row>
    <row r="292" spans="1:25" ht="15">
      <c r="A292" s="46"/>
      <c r="C292" s="60"/>
      <c r="D292" s="61"/>
      <c r="E292" s="60"/>
      <c r="Y292" s="237"/>
    </row>
    <row r="293" spans="1:25" ht="15">
      <c r="A293" s="46"/>
      <c r="C293" s="60"/>
      <c r="D293" s="61"/>
      <c r="E293" s="60"/>
      <c r="Y293" s="237"/>
    </row>
    <row r="294" spans="1:25" ht="15">
      <c r="A294" s="46"/>
      <c r="C294" s="60"/>
      <c r="D294" s="61"/>
      <c r="E294" s="60"/>
      <c r="Y294" s="237"/>
    </row>
    <row r="295" spans="1:25" ht="15">
      <c r="A295" s="46"/>
      <c r="C295" s="60"/>
      <c r="D295" s="61"/>
      <c r="E295" s="60"/>
      <c r="Y295" s="237"/>
    </row>
    <row r="296" spans="1:25" ht="15">
      <c r="A296" s="46"/>
      <c r="C296" s="60"/>
      <c r="D296" s="61"/>
      <c r="E296" s="60"/>
      <c r="Y296" s="237"/>
    </row>
    <row r="297" spans="1:25" ht="15">
      <c r="A297" s="46"/>
      <c r="C297" s="60"/>
      <c r="D297" s="61"/>
      <c r="E297" s="60"/>
      <c r="Y297" s="237"/>
    </row>
    <row r="298" spans="1:25" ht="15">
      <c r="A298" s="46"/>
      <c r="C298" s="60"/>
      <c r="D298" s="61"/>
      <c r="E298" s="60"/>
      <c r="Y298" s="237"/>
    </row>
    <row r="299" spans="1:5" ht="15">
      <c r="A299" s="46"/>
      <c r="C299" s="60"/>
      <c r="D299" s="61"/>
      <c r="E299" s="60"/>
    </row>
    <row r="300" spans="1:5" ht="15">
      <c r="A300" s="46"/>
      <c r="C300" s="60"/>
      <c r="D300" s="61"/>
      <c r="E300" s="60"/>
    </row>
    <row r="301" spans="1:5" ht="15">
      <c r="A301" s="46"/>
      <c r="C301" s="60"/>
      <c r="D301" s="61"/>
      <c r="E301" s="60"/>
    </row>
    <row r="302" spans="1:5" ht="15">
      <c r="A302" s="46"/>
      <c r="C302" s="60"/>
      <c r="D302" s="61"/>
      <c r="E302" s="60"/>
    </row>
    <row r="303" spans="1:5" ht="15">
      <c r="A303" s="46"/>
      <c r="C303" s="60"/>
      <c r="D303" s="61"/>
      <c r="E303" s="60"/>
    </row>
    <row r="304" spans="1:5" ht="15">
      <c r="A304" s="46"/>
      <c r="C304" s="60"/>
      <c r="D304" s="61"/>
      <c r="E304" s="60"/>
    </row>
    <row r="305" spans="1:5" ht="15">
      <c r="A305" s="46"/>
      <c r="C305" s="60"/>
      <c r="D305" s="61"/>
      <c r="E305" s="60"/>
    </row>
    <row r="306" spans="1:5" ht="15">
      <c r="A306" s="46"/>
      <c r="C306" s="60"/>
      <c r="D306" s="61"/>
      <c r="E306" s="60"/>
    </row>
    <row r="307" spans="1:5" ht="15">
      <c r="A307" s="46"/>
      <c r="C307" s="60"/>
      <c r="D307" s="61"/>
      <c r="E307" s="60"/>
    </row>
    <row r="308" spans="1:5" ht="15">
      <c r="A308" s="46"/>
      <c r="C308" s="60"/>
      <c r="D308" s="61"/>
      <c r="E308" s="60"/>
    </row>
    <row r="309" spans="1:5" ht="15">
      <c r="A309" s="46"/>
      <c r="C309" s="60"/>
      <c r="D309" s="61"/>
      <c r="E309" s="60"/>
    </row>
    <row r="310" spans="1:5" ht="15">
      <c r="A310" s="46"/>
      <c r="C310" s="60"/>
      <c r="D310" s="61"/>
      <c r="E310" s="60"/>
    </row>
    <row r="311" spans="1:5" ht="15">
      <c r="A311" s="46"/>
      <c r="C311" s="60"/>
      <c r="D311" s="61"/>
      <c r="E311" s="60"/>
    </row>
    <row r="312" spans="1:5" ht="15">
      <c r="A312" s="46"/>
      <c r="C312" s="60"/>
      <c r="D312" s="61"/>
      <c r="E312" s="60"/>
    </row>
    <row r="313" spans="1:5" ht="15">
      <c r="A313" s="46"/>
      <c r="C313" s="60"/>
      <c r="D313" s="61"/>
      <c r="E313" s="60"/>
    </row>
    <row r="314" spans="1:5" ht="15">
      <c r="A314" s="46"/>
      <c r="C314" s="60"/>
      <c r="D314" s="61"/>
      <c r="E314" s="60"/>
    </row>
    <row r="315" spans="1:5" ht="15">
      <c r="A315" s="46"/>
      <c r="C315" s="60"/>
      <c r="D315" s="61"/>
      <c r="E315" s="60"/>
    </row>
    <row r="316" spans="1:5" ht="15">
      <c r="A316" s="46"/>
      <c r="C316" s="60"/>
      <c r="D316" s="61"/>
      <c r="E316" s="60"/>
    </row>
    <row r="317" spans="1:5" ht="15">
      <c r="A317" s="46"/>
      <c r="C317" s="60"/>
      <c r="D317" s="61"/>
      <c r="E317" s="60"/>
    </row>
    <row r="318" spans="1:5" ht="15">
      <c r="A318" s="46"/>
      <c r="C318" s="60"/>
      <c r="D318" s="61"/>
      <c r="E318" s="60"/>
    </row>
    <row r="319" spans="1:5" ht="15">
      <c r="A319" s="46"/>
      <c r="C319" s="60"/>
      <c r="D319" s="61"/>
      <c r="E319" s="60"/>
    </row>
    <row r="320" spans="1:5" ht="15">
      <c r="A320" s="46"/>
      <c r="C320" s="60"/>
      <c r="D320" s="61"/>
      <c r="E320" s="60"/>
    </row>
    <row r="321" spans="1:5" ht="15">
      <c r="A321" s="46"/>
      <c r="C321" s="60"/>
      <c r="D321" s="61"/>
      <c r="E321" s="60"/>
    </row>
    <row r="322" spans="1:5" ht="15">
      <c r="A322" s="46"/>
      <c r="C322" s="60"/>
      <c r="D322" s="61"/>
      <c r="E322" s="60"/>
    </row>
    <row r="323" spans="1:5" ht="15">
      <c r="A323" s="46"/>
      <c r="C323" s="60"/>
      <c r="D323" s="61"/>
      <c r="E323" s="60"/>
    </row>
    <row r="324" spans="1:5" ht="15">
      <c r="A324" s="46"/>
      <c r="C324" s="60"/>
      <c r="D324" s="61"/>
      <c r="E324" s="60"/>
    </row>
    <row r="325" spans="1:5" ht="15">
      <c r="A325" s="46"/>
      <c r="C325" s="60"/>
      <c r="D325" s="61"/>
      <c r="E325" s="60"/>
    </row>
    <row r="326" spans="1:5" ht="15">
      <c r="A326" s="46"/>
      <c r="C326" s="60"/>
      <c r="D326" s="61"/>
      <c r="E326" s="60"/>
    </row>
    <row r="327" spans="1:5" ht="15">
      <c r="A327" s="46"/>
      <c r="C327" s="60"/>
      <c r="D327" s="61"/>
      <c r="E327" s="60"/>
    </row>
    <row r="328" spans="1:5" ht="15">
      <c r="A328" s="46"/>
      <c r="C328" s="60"/>
      <c r="D328" s="61"/>
      <c r="E328" s="60"/>
    </row>
    <row r="329" spans="1:5" ht="15">
      <c r="A329" s="46"/>
      <c r="C329" s="60"/>
      <c r="D329" s="61"/>
      <c r="E329" s="60"/>
    </row>
    <row r="330" spans="1:5" ht="15">
      <c r="A330" s="46"/>
      <c r="C330" s="60"/>
      <c r="D330" s="61"/>
      <c r="E330" s="60"/>
    </row>
    <row r="331" spans="1:5" ht="15">
      <c r="A331" s="46"/>
      <c r="C331" s="60"/>
      <c r="D331" s="61"/>
      <c r="E331" s="60"/>
    </row>
    <row r="332" spans="3:4" ht="15">
      <c r="C332" s="56"/>
      <c r="D332" s="61"/>
    </row>
    <row r="333" spans="3:4" ht="15">
      <c r="C333" s="56"/>
      <c r="D333" s="61"/>
    </row>
    <row r="334" spans="3:4" ht="15">
      <c r="C334" s="56"/>
      <c r="D334" s="61"/>
    </row>
    <row r="335" spans="3:4" ht="15">
      <c r="C335" s="56"/>
      <c r="D335" s="61"/>
    </row>
    <row r="336" spans="3:4" ht="15">
      <c r="C336" s="56"/>
      <c r="D336" s="61"/>
    </row>
    <row r="337" spans="3:4" ht="15">
      <c r="C337" s="56"/>
      <c r="D337" s="61"/>
    </row>
    <row r="338" spans="3:4" ht="15">
      <c r="C338" s="56"/>
      <c r="D338" s="61"/>
    </row>
    <row r="339" spans="3:4" ht="15">
      <c r="C339" s="56"/>
      <c r="D339" s="61"/>
    </row>
    <row r="340" spans="3:4" ht="15">
      <c r="C340" s="56"/>
      <c r="D340" s="61"/>
    </row>
    <row r="341" spans="3:4" ht="15">
      <c r="C341" s="56"/>
      <c r="D341" s="61"/>
    </row>
    <row r="342" spans="3:4" ht="15">
      <c r="C342" s="56"/>
      <c r="D342" s="61"/>
    </row>
    <row r="343" spans="3:4" ht="15">
      <c r="C343" s="56"/>
      <c r="D343" s="61"/>
    </row>
    <row r="344" spans="3:4" ht="15">
      <c r="C344" s="56"/>
      <c r="D344" s="61"/>
    </row>
    <row r="345" spans="3:4" ht="15">
      <c r="C345" s="56"/>
      <c r="D345" s="61"/>
    </row>
    <row r="346" spans="3:4" ht="15">
      <c r="C346" s="56"/>
      <c r="D346" s="61"/>
    </row>
    <row r="347" spans="3:4" ht="15">
      <c r="C347" s="56"/>
      <c r="D347" s="61"/>
    </row>
    <row r="348" spans="3:4" ht="15">
      <c r="C348" s="56"/>
      <c r="D348" s="61"/>
    </row>
    <row r="349" spans="3:4" ht="15">
      <c r="C349" s="56"/>
      <c r="D349" s="61"/>
    </row>
    <row r="350" spans="3:4" ht="15">
      <c r="C350" s="56"/>
      <c r="D350" s="61"/>
    </row>
    <row r="351" spans="3:4" ht="15">
      <c r="C351" s="56"/>
      <c r="D351" s="61"/>
    </row>
    <row r="352" spans="3:4" ht="15">
      <c r="C352" s="56"/>
      <c r="D352" s="61"/>
    </row>
    <row r="353" spans="3:4" ht="15">
      <c r="C353" s="56"/>
      <c r="D353" s="61"/>
    </row>
    <row r="354" spans="3:4" ht="15">
      <c r="C354" s="56"/>
      <c r="D354" s="61"/>
    </row>
    <row r="355" spans="3:4" ht="15">
      <c r="C355" s="56"/>
      <c r="D355" s="61"/>
    </row>
    <row r="356" spans="3:4" ht="15">
      <c r="C356" s="56"/>
      <c r="D356" s="61"/>
    </row>
    <row r="357" spans="3:4" ht="15">
      <c r="C357" s="56"/>
      <c r="D357" s="61"/>
    </row>
    <row r="358" spans="3:4" ht="15">
      <c r="C358" s="56"/>
      <c r="D358" s="61"/>
    </row>
    <row r="359" spans="3:4" ht="15">
      <c r="C359" s="56"/>
      <c r="D359" s="61"/>
    </row>
    <row r="360" spans="3:4" ht="15">
      <c r="C360" s="56"/>
      <c r="D360" s="61"/>
    </row>
    <row r="361" spans="3:4" ht="15">
      <c r="C361" s="56"/>
      <c r="D361" s="61"/>
    </row>
    <row r="362" spans="3:4" ht="15">
      <c r="C362" s="56"/>
      <c r="D362" s="61"/>
    </row>
    <row r="363" spans="3:4" ht="15">
      <c r="C363" s="56"/>
      <c r="D363" s="61"/>
    </row>
    <row r="364" spans="3:4" ht="15">
      <c r="C364" s="56"/>
      <c r="D364" s="61"/>
    </row>
    <row r="365" spans="3:4" ht="15">
      <c r="C365" s="56"/>
      <c r="D365" s="61"/>
    </row>
    <row r="366" spans="3:4" ht="15">
      <c r="C366" s="56"/>
      <c r="D366" s="61"/>
    </row>
    <row r="367" spans="3:4" ht="15">
      <c r="C367" s="56"/>
      <c r="D367" s="61"/>
    </row>
    <row r="368" spans="3:4" ht="15">
      <c r="C368" s="56"/>
      <c r="D368" s="61"/>
    </row>
    <row r="369" spans="3:4" ht="15">
      <c r="C369" s="56"/>
      <c r="D369" s="61"/>
    </row>
    <row r="370" spans="3:4" ht="15">
      <c r="C370" s="56"/>
      <c r="D370" s="61"/>
    </row>
    <row r="371" spans="3:4" ht="15">
      <c r="C371" s="56"/>
      <c r="D371" s="61"/>
    </row>
    <row r="372" spans="3:4" ht="15">
      <c r="C372" s="56"/>
      <c r="D372" s="61"/>
    </row>
    <row r="373" spans="3:4" ht="15">
      <c r="C373" s="56"/>
      <c r="D373" s="61"/>
    </row>
    <row r="374" spans="3:4" ht="15">
      <c r="C374" s="56"/>
      <c r="D374" s="61"/>
    </row>
    <row r="375" spans="3:4" ht="15">
      <c r="C375" s="56"/>
      <c r="D375" s="61"/>
    </row>
    <row r="376" spans="3:4" ht="15">
      <c r="C376" s="56"/>
      <c r="D376" s="61"/>
    </row>
    <row r="377" spans="3:4" ht="15">
      <c r="C377" s="56"/>
      <c r="D377" s="61"/>
    </row>
    <row r="378" spans="3:4" ht="15">
      <c r="C378" s="56"/>
      <c r="D378" s="61"/>
    </row>
    <row r="379" spans="3:4" ht="15">
      <c r="C379" s="56"/>
      <c r="D379" s="61"/>
    </row>
    <row r="380" spans="3:4" ht="15">
      <c r="C380" s="56"/>
      <c r="D380" s="61"/>
    </row>
    <row r="381" spans="3:4" ht="15">
      <c r="C381" s="56"/>
      <c r="D381" s="61"/>
    </row>
    <row r="382" spans="3:4" ht="15">
      <c r="C382" s="56"/>
      <c r="D382" s="61"/>
    </row>
    <row r="383" spans="3:4" ht="15">
      <c r="C383" s="56"/>
      <c r="D383" s="61"/>
    </row>
    <row r="384" spans="3:4" ht="15">
      <c r="C384" s="56"/>
      <c r="D384" s="61"/>
    </row>
    <row r="385" spans="3:4" ht="15">
      <c r="C385" s="56"/>
      <c r="D385" s="61"/>
    </row>
    <row r="386" spans="3:4" ht="15">
      <c r="C386" s="56"/>
      <c r="D386" s="61"/>
    </row>
    <row r="387" spans="3:4" ht="15">
      <c r="C387" s="56"/>
      <c r="D387" s="61"/>
    </row>
    <row r="388" spans="3:4" ht="15">
      <c r="C388" s="56"/>
      <c r="D388" s="61"/>
    </row>
  </sheetData>
  <sheetProtection/>
  <mergeCells count="3">
    <mergeCell ref="D1:E1"/>
    <mergeCell ref="A5:Y5"/>
    <mergeCell ref="X1:Z1"/>
  </mergeCells>
  <printOptions/>
  <pageMargins left="0.75" right="0.75" top="0.32" bottom="1" header="0.32" footer="0.5"/>
  <pageSetup fitToHeight="0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="75" zoomScaleNormal="75" zoomScalePageLayoutView="0" workbookViewId="0" topLeftCell="A19">
      <selection activeCell="G26" sqref="G26"/>
    </sheetView>
  </sheetViews>
  <sheetFormatPr defaultColWidth="9.125" defaultRowHeight="12.75"/>
  <cols>
    <col min="1" max="1" width="18.875" style="60" customWidth="1"/>
    <col min="2" max="4" width="9.125" style="60" customWidth="1"/>
    <col min="5" max="5" width="43.625" style="60" customWidth="1"/>
    <col min="6" max="6" width="39.125" style="60" customWidth="1"/>
    <col min="7" max="7" width="43.50390625" style="60" customWidth="1"/>
    <col min="8" max="8" width="24.625" style="60" customWidth="1"/>
    <col min="9" max="16384" width="9.125" style="60" customWidth="1"/>
  </cols>
  <sheetData>
    <row r="1" spans="1:7" ht="15">
      <c r="A1" s="61"/>
      <c r="B1" s="61"/>
      <c r="C1" s="61"/>
      <c r="D1" s="61"/>
      <c r="E1" s="61"/>
      <c r="F1" s="377" t="s">
        <v>291</v>
      </c>
      <c r="G1" s="377"/>
    </row>
    <row r="2" spans="1:7" ht="15">
      <c r="A2" s="61"/>
      <c r="B2" s="61"/>
      <c r="C2" s="61"/>
      <c r="D2" s="61"/>
      <c r="E2" s="61"/>
      <c r="F2" s="377" t="s">
        <v>292</v>
      </c>
      <c r="G2" s="377"/>
    </row>
    <row r="3" spans="1:7" ht="15">
      <c r="A3" s="61"/>
      <c r="B3" s="61"/>
      <c r="C3" s="61"/>
      <c r="D3" s="61"/>
      <c r="E3" s="61"/>
      <c r="F3" s="128"/>
      <c r="G3" s="129" t="s">
        <v>293</v>
      </c>
    </row>
    <row r="4" spans="1:7" ht="15">
      <c r="A4" s="61"/>
      <c r="B4" s="61"/>
      <c r="C4" s="61"/>
      <c r="D4" s="61"/>
      <c r="E4" s="61"/>
      <c r="F4" s="128"/>
      <c r="G4" s="129" t="s">
        <v>294</v>
      </c>
    </row>
    <row r="5" spans="1:7" ht="15">
      <c r="A5" s="61"/>
      <c r="B5" s="61"/>
      <c r="C5" s="61"/>
      <c r="D5" s="61"/>
      <c r="E5" s="61"/>
      <c r="F5" s="128"/>
      <c r="G5" s="129" t="s">
        <v>295</v>
      </c>
    </row>
    <row r="6" spans="1:7" ht="15">
      <c r="A6" s="61"/>
      <c r="B6" s="61"/>
      <c r="C6" s="61"/>
      <c r="D6" s="61"/>
      <c r="E6" s="61"/>
      <c r="F6" s="128" t="s">
        <v>388</v>
      </c>
      <c r="G6" s="129" t="s">
        <v>549</v>
      </c>
    </row>
    <row r="7" spans="1:7" ht="15">
      <c r="A7" s="61"/>
      <c r="B7" s="61"/>
      <c r="C7" s="61"/>
      <c r="D7" s="61"/>
      <c r="E7" s="61"/>
      <c r="F7" s="128"/>
      <c r="G7" s="129" t="s">
        <v>550</v>
      </c>
    </row>
    <row r="8" spans="1:8" ht="18.75" customHeight="1">
      <c r="A8" s="61"/>
      <c r="B8" s="61"/>
      <c r="C8" s="130"/>
      <c r="D8" s="130"/>
      <c r="E8" s="130"/>
      <c r="F8" s="130"/>
      <c r="G8" s="130"/>
      <c r="H8" s="131"/>
    </row>
    <row r="9" spans="1:9" ht="23.25" customHeight="1">
      <c r="A9" s="378" t="s">
        <v>531</v>
      </c>
      <c r="B9" s="378"/>
      <c r="C9" s="378"/>
      <c r="D9" s="378"/>
      <c r="E9" s="378"/>
      <c r="F9" s="378"/>
      <c r="G9" s="378"/>
      <c r="H9" s="64"/>
      <c r="I9" s="64"/>
    </row>
    <row r="10" spans="1:9" ht="12" customHeight="1" thickBot="1">
      <c r="A10" s="132"/>
      <c r="B10" s="132"/>
      <c r="C10" s="132"/>
      <c r="D10" s="132"/>
      <c r="E10" s="132"/>
      <c r="F10" s="132"/>
      <c r="G10" s="132"/>
      <c r="H10" s="64"/>
      <c r="I10" s="64"/>
    </row>
    <row r="11" spans="1:9" ht="39" customHeight="1">
      <c r="A11" s="379" t="s">
        <v>296</v>
      </c>
      <c r="B11" s="380"/>
      <c r="C11" s="380"/>
      <c r="D11" s="380"/>
      <c r="E11" s="381"/>
      <c r="F11" s="385" t="s">
        <v>532</v>
      </c>
      <c r="G11" s="386"/>
      <c r="H11" s="64"/>
      <c r="I11" s="64"/>
    </row>
    <row r="12" spans="1:9" ht="78" customHeight="1" thickBot="1">
      <c r="A12" s="382"/>
      <c r="B12" s="383"/>
      <c r="C12" s="383"/>
      <c r="D12" s="383"/>
      <c r="E12" s="384"/>
      <c r="F12" s="133" t="s">
        <v>297</v>
      </c>
      <c r="G12" s="134" t="s">
        <v>298</v>
      </c>
      <c r="H12" s="64"/>
      <c r="I12" s="64"/>
    </row>
    <row r="13" spans="1:9" ht="17.25">
      <c r="A13" s="387" t="s">
        <v>299</v>
      </c>
      <c r="B13" s="388"/>
      <c r="C13" s="388"/>
      <c r="D13" s="388"/>
      <c r="E13" s="388"/>
      <c r="F13" s="388"/>
      <c r="G13" s="389"/>
      <c r="H13" s="64"/>
      <c r="I13" s="64"/>
    </row>
    <row r="14" spans="1:9" ht="34.5" customHeight="1">
      <c r="A14" s="372" t="s">
        <v>300</v>
      </c>
      <c r="B14" s="373"/>
      <c r="C14" s="373"/>
      <c r="D14" s="373"/>
      <c r="E14" s="374"/>
      <c r="F14" s="135">
        <f>543560+761626</f>
        <v>1305186</v>
      </c>
      <c r="G14" s="136" t="s">
        <v>301</v>
      </c>
      <c r="H14" s="64"/>
      <c r="I14" s="64"/>
    </row>
    <row r="15" spans="1:9" ht="51.75" customHeight="1">
      <c r="A15" s="372" t="s">
        <v>302</v>
      </c>
      <c r="B15" s="373"/>
      <c r="C15" s="373"/>
      <c r="D15" s="373"/>
      <c r="E15" s="374"/>
      <c r="F15" s="135">
        <f>F14*7/100</f>
        <v>91363.02</v>
      </c>
      <c r="G15" s="136" t="s">
        <v>301</v>
      </c>
      <c r="H15" s="64"/>
      <c r="I15" s="64"/>
    </row>
    <row r="16" spans="1:9" ht="24.75" customHeight="1">
      <c r="A16" s="372" t="s">
        <v>303</v>
      </c>
      <c r="B16" s="373"/>
      <c r="C16" s="373"/>
      <c r="D16" s="373"/>
      <c r="E16" s="373"/>
      <c r="F16" s="135">
        <f>F14-F15</f>
        <v>1213822.98</v>
      </c>
      <c r="G16" s="136" t="s">
        <v>301</v>
      </c>
      <c r="H16" s="137"/>
      <c r="I16" s="64"/>
    </row>
    <row r="17" spans="1:9" ht="30" customHeight="1">
      <c r="A17" s="372" t="s">
        <v>304</v>
      </c>
      <c r="B17" s="373"/>
      <c r="C17" s="373"/>
      <c r="D17" s="373"/>
      <c r="E17" s="374"/>
      <c r="F17" s="138">
        <f>F16*13%</f>
        <v>157796.9874</v>
      </c>
      <c r="G17" s="139">
        <f>F17/2</f>
        <v>78898.4937</v>
      </c>
      <c r="H17" s="64"/>
      <c r="I17" s="64"/>
    </row>
    <row r="18" spans="1:9" ht="34.5" customHeight="1">
      <c r="A18" s="372" t="s">
        <v>305</v>
      </c>
      <c r="B18" s="373"/>
      <c r="C18" s="373"/>
      <c r="D18" s="373"/>
      <c r="E18" s="374"/>
      <c r="F18" s="138">
        <v>100</v>
      </c>
      <c r="G18" s="139">
        <f>F18/2</f>
        <v>50</v>
      </c>
      <c r="H18" s="64"/>
      <c r="I18" s="64"/>
    </row>
    <row r="19" spans="1:9" ht="18" thickBot="1">
      <c r="A19" s="395" t="s">
        <v>306</v>
      </c>
      <c r="B19" s="396"/>
      <c r="C19" s="396"/>
      <c r="D19" s="396"/>
      <c r="E19" s="397"/>
      <c r="F19" s="140">
        <f>F17+F18</f>
        <v>157896.9874</v>
      </c>
      <c r="G19" s="141">
        <f>G17+G18</f>
        <v>78948.4937</v>
      </c>
      <c r="H19" s="64"/>
      <c r="I19" s="64"/>
    </row>
    <row r="20" spans="1:9" ht="17.25">
      <c r="A20" s="398" t="s">
        <v>307</v>
      </c>
      <c r="B20" s="399"/>
      <c r="C20" s="399"/>
      <c r="D20" s="399"/>
      <c r="E20" s="399"/>
      <c r="F20" s="399"/>
      <c r="G20" s="400"/>
      <c r="H20" s="64"/>
      <c r="I20" s="64"/>
    </row>
    <row r="21" spans="1:7" ht="95.25" customHeight="1">
      <c r="A21" s="401" t="s">
        <v>509</v>
      </c>
      <c r="B21" s="402"/>
      <c r="C21" s="402"/>
      <c r="D21" s="402"/>
      <c r="E21" s="403"/>
      <c r="F21" s="138">
        <v>240</v>
      </c>
      <c r="G21" s="139">
        <f>F21/2</f>
        <v>120</v>
      </c>
    </row>
    <row r="22" spans="1:7" ht="74.25" customHeight="1">
      <c r="A22" s="372" t="s">
        <v>510</v>
      </c>
      <c r="B22" s="373"/>
      <c r="C22" s="373"/>
      <c r="D22" s="373"/>
      <c r="E22" s="374"/>
      <c r="F22" s="143">
        <v>210</v>
      </c>
      <c r="G22" s="139">
        <f>F22/2</f>
        <v>105</v>
      </c>
    </row>
    <row r="23" spans="1:7" ht="100.5" customHeight="1">
      <c r="A23" s="372" t="s">
        <v>533</v>
      </c>
      <c r="B23" s="375"/>
      <c r="C23" s="375"/>
      <c r="D23" s="375"/>
      <c r="E23" s="376"/>
      <c r="F23" s="143">
        <v>570</v>
      </c>
      <c r="G23" s="139">
        <f>F23*20%</f>
        <v>114</v>
      </c>
    </row>
    <row r="24" spans="1:7" s="131" customFormat="1" ht="42.75" customHeight="1" thickBot="1">
      <c r="A24" s="393" t="s">
        <v>308</v>
      </c>
      <c r="B24" s="394"/>
      <c r="C24" s="394"/>
      <c r="D24" s="394"/>
      <c r="E24" s="394"/>
      <c r="F24" s="140">
        <f>F21+F22</f>
        <v>450</v>
      </c>
      <c r="G24" s="139">
        <f>G21+G22+G23</f>
        <v>339</v>
      </c>
    </row>
    <row r="25" spans="1:7" ht="18" thickBot="1">
      <c r="A25" s="390" t="s">
        <v>309</v>
      </c>
      <c r="B25" s="391"/>
      <c r="C25" s="391"/>
      <c r="D25" s="391"/>
      <c r="E25" s="392"/>
      <c r="F25" s="144">
        <f>F19+F24</f>
        <v>158346.9874</v>
      </c>
      <c r="G25" s="145">
        <f>G19+G24</f>
        <v>79287.4937</v>
      </c>
    </row>
    <row r="26" spans="1:7" ht="25.5" customHeight="1">
      <c r="A26" s="131"/>
      <c r="B26" s="131"/>
      <c r="C26" s="131"/>
      <c r="D26" s="131"/>
      <c r="E26" s="131"/>
      <c r="F26" s="146"/>
      <c r="G26" s="259">
        <f>G25-33247.2</f>
        <v>46040.29370000001</v>
      </c>
    </row>
    <row r="27" ht="15">
      <c r="G27" s="232"/>
    </row>
  </sheetData>
  <sheetProtection/>
  <mergeCells count="18">
    <mergeCell ref="A25:E25"/>
    <mergeCell ref="A22:E22"/>
    <mergeCell ref="A24:E24"/>
    <mergeCell ref="A17:E17"/>
    <mergeCell ref="A18:E18"/>
    <mergeCell ref="A19:E19"/>
    <mergeCell ref="A20:G20"/>
    <mergeCell ref="A21:E21"/>
    <mergeCell ref="A14:E14"/>
    <mergeCell ref="A15:E15"/>
    <mergeCell ref="A16:E16"/>
    <mergeCell ref="A23:E23"/>
    <mergeCell ref="F1:G1"/>
    <mergeCell ref="F2:G2"/>
    <mergeCell ref="A9:G9"/>
    <mergeCell ref="A11:E12"/>
    <mergeCell ref="F11:G11"/>
    <mergeCell ref="A13:G13"/>
  </mergeCells>
  <printOptions/>
  <pageMargins left="0.75" right="0.75" top="1" bottom="1" header="0.5" footer="0.5"/>
  <pageSetup fitToWidth="0" fitToHeight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zoomScale="75" zoomScaleNormal="75" zoomScalePageLayoutView="0" workbookViewId="0" topLeftCell="A16">
      <selection activeCell="A6" sqref="A6:E7"/>
    </sheetView>
  </sheetViews>
  <sheetFormatPr defaultColWidth="9.125" defaultRowHeight="12.75"/>
  <cols>
    <col min="1" max="1" width="18.875" style="60" customWidth="1"/>
    <col min="2" max="4" width="9.125" style="60" customWidth="1"/>
    <col min="5" max="5" width="40.125" style="60" customWidth="1"/>
    <col min="6" max="6" width="32.00390625" style="60" customWidth="1"/>
    <col min="7" max="7" width="28.875" style="60" customWidth="1"/>
    <col min="8" max="8" width="29.875" style="60" customWidth="1"/>
    <col min="9" max="9" width="29.125" style="60" customWidth="1"/>
    <col min="10" max="16384" width="9.125" style="60" customWidth="1"/>
  </cols>
  <sheetData>
    <row r="1" spans="3:8" ht="15">
      <c r="C1" s="131"/>
      <c r="D1" s="131"/>
      <c r="E1" s="131"/>
      <c r="F1" s="131"/>
      <c r="G1" s="131"/>
      <c r="H1" s="131"/>
    </row>
    <row r="2" spans="3:8" ht="15">
      <c r="C2" s="131"/>
      <c r="D2" s="131"/>
      <c r="E2" s="131"/>
      <c r="F2" s="131"/>
      <c r="G2" s="131"/>
      <c r="H2" s="131" t="s">
        <v>310</v>
      </c>
    </row>
    <row r="4" spans="1:9" ht="30.75" customHeight="1">
      <c r="A4" s="378" t="s">
        <v>551</v>
      </c>
      <c r="B4" s="378"/>
      <c r="C4" s="378"/>
      <c r="D4" s="378"/>
      <c r="E4" s="378"/>
      <c r="F4" s="378"/>
      <c r="G4" s="378"/>
      <c r="H4" s="378"/>
      <c r="I4" s="378"/>
    </row>
    <row r="5" spans="1:9" ht="19.5" customHeight="1" thickBot="1">
      <c r="A5" s="132"/>
      <c r="B5" s="132"/>
      <c r="C5" s="132"/>
      <c r="D5" s="132"/>
      <c r="E5" s="132"/>
      <c r="F5" s="132"/>
      <c r="G5" s="132"/>
      <c r="H5" s="65"/>
      <c r="I5" s="65"/>
    </row>
    <row r="6" spans="1:9" s="148" customFormat="1" ht="48.75" customHeight="1">
      <c r="A6" s="408" t="s">
        <v>296</v>
      </c>
      <c r="B6" s="409"/>
      <c r="C6" s="409"/>
      <c r="D6" s="409"/>
      <c r="E6" s="409"/>
      <c r="F6" s="412" t="s">
        <v>552</v>
      </c>
      <c r="G6" s="412"/>
      <c r="H6" s="412" t="s">
        <v>553</v>
      </c>
      <c r="I6" s="413"/>
    </row>
    <row r="7" spans="1:9" s="148" customFormat="1" ht="72.75" customHeight="1" thickBot="1">
      <c r="A7" s="410"/>
      <c r="B7" s="411"/>
      <c r="C7" s="411"/>
      <c r="D7" s="411"/>
      <c r="E7" s="411"/>
      <c r="F7" s="133" t="s">
        <v>297</v>
      </c>
      <c r="G7" s="134" t="s">
        <v>298</v>
      </c>
      <c r="H7" s="133" t="s">
        <v>297</v>
      </c>
      <c r="I7" s="134" t="s">
        <v>298</v>
      </c>
    </row>
    <row r="8" spans="1:9" ht="29.25" customHeight="1">
      <c r="A8" s="398" t="s">
        <v>299</v>
      </c>
      <c r="B8" s="399"/>
      <c r="C8" s="399"/>
      <c r="D8" s="399"/>
      <c r="E8" s="399"/>
      <c r="F8" s="399"/>
      <c r="G8" s="399"/>
      <c r="H8" s="399"/>
      <c r="I8" s="400"/>
    </row>
    <row r="9" spans="1:9" ht="22.5" customHeight="1">
      <c r="A9" s="372" t="s">
        <v>300</v>
      </c>
      <c r="B9" s="373"/>
      <c r="C9" s="373"/>
      <c r="D9" s="373"/>
      <c r="E9" s="374"/>
      <c r="F9" s="135">
        <v>576500</v>
      </c>
      <c r="G9" s="139" t="s">
        <v>301</v>
      </c>
      <c r="H9" s="135">
        <v>611990</v>
      </c>
      <c r="I9" s="139" t="s">
        <v>301</v>
      </c>
    </row>
    <row r="10" spans="1:9" ht="64.5" customHeight="1">
      <c r="A10" s="404" t="s">
        <v>302</v>
      </c>
      <c r="B10" s="405"/>
      <c r="C10" s="405"/>
      <c r="D10" s="405"/>
      <c r="E10" s="405"/>
      <c r="F10" s="135">
        <f>F9*7/100</f>
        <v>40355</v>
      </c>
      <c r="G10" s="139" t="s">
        <v>301</v>
      </c>
      <c r="H10" s="135">
        <f>H9*7%</f>
        <v>42839.3</v>
      </c>
      <c r="I10" s="139" t="s">
        <v>301</v>
      </c>
    </row>
    <row r="11" spans="1:9" ht="21.75" customHeight="1">
      <c r="A11" s="406" t="s">
        <v>303</v>
      </c>
      <c r="B11" s="407"/>
      <c r="C11" s="407"/>
      <c r="D11" s="407"/>
      <c r="E11" s="407"/>
      <c r="F11" s="135">
        <f>F9-F10</f>
        <v>536145</v>
      </c>
      <c r="G11" s="139" t="s">
        <v>301</v>
      </c>
      <c r="H11" s="135">
        <f>H9-H10</f>
        <v>569150.7</v>
      </c>
      <c r="I11" s="139" t="s">
        <v>301</v>
      </c>
    </row>
    <row r="12" spans="1:9" ht="21.75" customHeight="1">
      <c r="A12" s="406" t="s">
        <v>304</v>
      </c>
      <c r="B12" s="407"/>
      <c r="C12" s="407"/>
      <c r="D12" s="407"/>
      <c r="E12" s="407"/>
      <c r="F12" s="135">
        <f>F11*13%</f>
        <v>69698.85</v>
      </c>
      <c r="G12" s="139">
        <f>F12/2</f>
        <v>34849.425</v>
      </c>
      <c r="H12" s="135">
        <f>H11*13%</f>
        <v>73989.591</v>
      </c>
      <c r="I12" s="139">
        <f>H12/2</f>
        <v>36994.7955</v>
      </c>
    </row>
    <row r="13" spans="1:9" ht="22.5" customHeight="1">
      <c r="A13" s="406" t="s">
        <v>305</v>
      </c>
      <c r="B13" s="407"/>
      <c r="C13" s="407"/>
      <c r="D13" s="407"/>
      <c r="E13" s="407"/>
      <c r="F13" s="135">
        <v>150</v>
      </c>
      <c r="G13" s="139">
        <f>F13/2</f>
        <v>75</v>
      </c>
      <c r="H13" s="135">
        <v>160</v>
      </c>
      <c r="I13" s="139">
        <f>H13/2</f>
        <v>80</v>
      </c>
    </row>
    <row r="14" spans="1:9" ht="65.25" customHeight="1" thickBot="1">
      <c r="A14" s="395" t="s">
        <v>306</v>
      </c>
      <c r="B14" s="396"/>
      <c r="C14" s="396"/>
      <c r="D14" s="396"/>
      <c r="E14" s="397"/>
      <c r="F14" s="149">
        <f>F12+F13</f>
        <v>69848.85</v>
      </c>
      <c r="G14" s="149">
        <f>G12+G13</f>
        <v>34924.425</v>
      </c>
      <c r="H14" s="149">
        <f>H12+H13</f>
        <v>74149.591</v>
      </c>
      <c r="I14" s="149">
        <f>I12+I13</f>
        <v>37074.7955</v>
      </c>
    </row>
    <row r="15" spans="1:9" ht="24" customHeight="1" thickBot="1">
      <c r="A15" s="417" t="s">
        <v>307</v>
      </c>
      <c r="B15" s="418"/>
      <c r="C15" s="418"/>
      <c r="D15" s="418"/>
      <c r="E15" s="418"/>
      <c r="F15" s="418"/>
      <c r="G15" s="418"/>
      <c r="H15" s="418"/>
      <c r="I15" s="419"/>
    </row>
    <row r="16" spans="1:9" ht="147.75" customHeight="1" thickBot="1">
      <c r="A16" s="401" t="s">
        <v>509</v>
      </c>
      <c r="B16" s="402"/>
      <c r="C16" s="402"/>
      <c r="D16" s="402"/>
      <c r="E16" s="403"/>
      <c r="F16" s="150">
        <v>251</v>
      </c>
      <c r="G16" s="151">
        <f>F16/2</f>
        <v>125.5</v>
      </c>
      <c r="H16" s="150">
        <v>260</v>
      </c>
      <c r="I16" s="151">
        <f>H16/2</f>
        <v>130</v>
      </c>
    </row>
    <row r="17" spans="1:9" ht="79.5" customHeight="1" thickBot="1">
      <c r="A17" s="372" t="s">
        <v>510</v>
      </c>
      <c r="B17" s="373"/>
      <c r="C17" s="373"/>
      <c r="D17" s="373"/>
      <c r="E17" s="374"/>
      <c r="F17" s="150">
        <v>215</v>
      </c>
      <c r="G17" s="151">
        <f>F17/2</f>
        <v>107.5</v>
      </c>
      <c r="H17" s="150">
        <v>220</v>
      </c>
      <c r="I17" s="151">
        <f>H17/2</f>
        <v>110</v>
      </c>
    </row>
    <row r="18" spans="1:9" ht="111.75" customHeight="1">
      <c r="A18" s="372" t="s">
        <v>533</v>
      </c>
      <c r="B18" s="375"/>
      <c r="C18" s="375"/>
      <c r="D18" s="375"/>
      <c r="E18" s="376"/>
      <c r="F18" s="150">
        <v>575</v>
      </c>
      <c r="G18" s="151">
        <f>F18*20%</f>
        <v>115</v>
      </c>
      <c r="H18" s="150">
        <v>580</v>
      </c>
      <c r="I18" s="151">
        <f>H18*20%</f>
        <v>116</v>
      </c>
    </row>
    <row r="19" spans="1:9" ht="41.25" customHeight="1" thickBot="1">
      <c r="A19" s="395" t="s">
        <v>308</v>
      </c>
      <c r="B19" s="396"/>
      <c r="C19" s="396"/>
      <c r="D19" s="396"/>
      <c r="E19" s="397"/>
      <c r="F19" s="140">
        <f>F16+F17</f>
        <v>466</v>
      </c>
      <c r="G19" s="140">
        <f>G16+G17+G18</f>
        <v>348</v>
      </c>
      <c r="H19" s="140">
        <f>H16+H17</f>
        <v>480</v>
      </c>
      <c r="I19" s="140">
        <f>I16+I17+I18</f>
        <v>356</v>
      </c>
    </row>
    <row r="20" spans="1:9" ht="39" customHeight="1" thickBot="1">
      <c r="A20" s="414" t="s">
        <v>309</v>
      </c>
      <c r="B20" s="415"/>
      <c r="C20" s="415"/>
      <c r="D20" s="415"/>
      <c r="E20" s="416"/>
      <c r="F20" s="144">
        <f>F14+F19</f>
        <v>70314.85</v>
      </c>
      <c r="G20" s="144">
        <f>G14+G19</f>
        <v>35272.425</v>
      </c>
      <c r="H20" s="144">
        <f>H14+H19</f>
        <v>74629.591</v>
      </c>
      <c r="I20" s="144">
        <f>I14+I19</f>
        <v>37430.7955</v>
      </c>
    </row>
    <row r="21" spans="1:7" ht="15">
      <c r="A21" s="131"/>
      <c r="B21" s="131"/>
      <c r="C21" s="131"/>
      <c r="D21" s="131"/>
      <c r="E21" s="131"/>
      <c r="F21" s="146"/>
      <c r="G21" s="147"/>
    </row>
  </sheetData>
  <sheetProtection/>
  <mergeCells count="17">
    <mergeCell ref="A16:E16"/>
    <mergeCell ref="A17:E17"/>
    <mergeCell ref="A20:E20"/>
    <mergeCell ref="A19:E19"/>
    <mergeCell ref="A12:E12"/>
    <mergeCell ref="A13:E13"/>
    <mergeCell ref="A14:E14"/>
    <mergeCell ref="A15:I15"/>
    <mergeCell ref="A18:E18"/>
    <mergeCell ref="A8:I8"/>
    <mergeCell ref="A9:E9"/>
    <mergeCell ref="A10:E10"/>
    <mergeCell ref="A11:E11"/>
    <mergeCell ref="A4:I4"/>
    <mergeCell ref="A6:E7"/>
    <mergeCell ref="F6:G6"/>
    <mergeCell ref="H6:I6"/>
  </mergeCells>
  <printOptions/>
  <pageMargins left="0.75" right="0.75" top="1" bottom="1" header="0.5" footer="0.5"/>
  <pageSetup fitToWidth="0" fitToHeight="1" horizontalDpi="600" verticalDpi="600" orientation="landscape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view="pageBreakPreview" zoomScale="75" zoomScaleSheetLayoutView="75" zoomScalePageLayoutView="0" workbookViewId="0" topLeftCell="A1">
      <selection activeCell="C25" sqref="A1:C25"/>
    </sheetView>
  </sheetViews>
  <sheetFormatPr defaultColWidth="9.125" defaultRowHeight="12.75"/>
  <cols>
    <col min="1" max="1" width="8.875" style="152" customWidth="1"/>
    <col min="2" max="2" width="139.625" style="60" customWidth="1"/>
    <col min="3" max="3" width="28.50390625" style="60" customWidth="1"/>
    <col min="4" max="4" width="17.50390625" style="60" hidden="1" customWidth="1"/>
    <col min="5" max="5" width="15.875" style="60" customWidth="1"/>
    <col min="6" max="6" width="12.00390625" style="60" bestFit="1" customWidth="1"/>
    <col min="7" max="7" width="14.875" style="60" customWidth="1"/>
    <col min="8" max="8" width="9.125" style="60" bestFit="1" customWidth="1"/>
    <col min="9" max="9" width="16.50390625" style="60" customWidth="1"/>
    <col min="10" max="10" width="10.125" style="60" bestFit="1" customWidth="1"/>
    <col min="11" max="12" width="9.125" style="60" bestFit="1" customWidth="1"/>
    <col min="13" max="13" width="13.875" style="60" customWidth="1"/>
    <col min="14" max="14" width="9.125" style="60" customWidth="1"/>
    <col min="15" max="15" width="12.125" style="60" customWidth="1"/>
    <col min="16" max="16384" width="9.125" style="60" customWidth="1"/>
  </cols>
  <sheetData>
    <row r="1" spans="2:3" ht="15" customHeight="1">
      <c r="B1" s="362" t="s">
        <v>311</v>
      </c>
      <c r="C1" s="362"/>
    </row>
    <row r="2" spans="2:3" ht="15" customHeight="1">
      <c r="B2" s="362" t="s">
        <v>292</v>
      </c>
      <c r="C2" s="362"/>
    </row>
    <row r="3" spans="2:3" ht="15.75" customHeight="1">
      <c r="B3" s="153"/>
      <c r="C3" s="154" t="s">
        <v>312</v>
      </c>
    </row>
    <row r="4" spans="2:3" ht="15.75" customHeight="1">
      <c r="B4" s="153"/>
      <c r="C4" s="154" t="s">
        <v>294</v>
      </c>
    </row>
    <row r="5" spans="2:5" ht="15" customHeight="1">
      <c r="B5" s="153"/>
      <c r="C5" s="154" t="s">
        <v>313</v>
      </c>
      <c r="D5"/>
      <c r="E5" s="154"/>
    </row>
    <row r="6" spans="2:5" ht="15" customHeight="1">
      <c r="B6" s="424" t="s">
        <v>554</v>
      </c>
      <c r="C6" s="425"/>
      <c r="D6"/>
      <c r="E6" s="154"/>
    </row>
    <row r="7" spans="2:3" ht="18.75" customHeight="1">
      <c r="B7" s="153"/>
      <c r="C7" s="154"/>
    </row>
    <row r="8" ht="18" hidden="1">
      <c r="C8" s="155"/>
    </row>
    <row r="9" spans="1:15" ht="47.25" customHeight="1">
      <c r="A9" s="355" t="s">
        <v>534</v>
      </c>
      <c r="B9" s="355"/>
      <c r="C9" s="355"/>
      <c r="G9" s="65"/>
      <c r="H9" s="65"/>
      <c r="I9" s="65"/>
      <c r="J9" s="65"/>
      <c r="K9" s="65"/>
      <c r="L9" s="65"/>
      <c r="M9" s="65"/>
      <c r="N9" s="65"/>
      <c r="O9" s="65"/>
    </row>
    <row r="10" spans="2:15" ht="11.25" customHeight="1" thickBot="1">
      <c r="B10" s="156"/>
      <c r="C10" s="156"/>
      <c r="G10" s="65"/>
      <c r="H10" s="65"/>
      <c r="I10" s="65"/>
      <c r="J10" s="65"/>
      <c r="K10" s="65"/>
      <c r="L10" s="65"/>
      <c r="M10" s="65"/>
      <c r="N10" s="65"/>
      <c r="O10" s="65"/>
    </row>
    <row r="11" spans="1:15" s="161" customFormat="1" ht="87" customHeight="1" thickBot="1">
      <c r="A11" s="157" t="s">
        <v>314</v>
      </c>
      <c r="B11" s="158" t="s">
        <v>296</v>
      </c>
      <c r="C11" s="159" t="s">
        <v>337</v>
      </c>
      <c r="D11" s="60"/>
      <c r="E11" s="60"/>
      <c r="F11" s="60"/>
      <c r="G11" s="65"/>
      <c r="H11" s="160"/>
      <c r="I11" s="160"/>
      <c r="J11" s="160"/>
      <c r="K11" s="160"/>
      <c r="L11" s="160"/>
      <c r="M11" s="160"/>
      <c r="N11" s="160"/>
      <c r="O11" s="160"/>
    </row>
    <row r="12" spans="1:15" s="161" customFormat="1" ht="27.75" customHeight="1">
      <c r="A12" s="162">
        <v>1</v>
      </c>
      <c r="B12" s="163" t="s">
        <v>315</v>
      </c>
      <c r="C12" s="164">
        <v>0.46</v>
      </c>
      <c r="D12" s="165"/>
      <c r="E12" s="165"/>
      <c r="F12" s="165"/>
      <c r="G12" s="166"/>
      <c r="H12" s="166"/>
      <c r="I12" s="166"/>
      <c r="J12" s="166"/>
      <c r="K12" s="166"/>
      <c r="L12" s="166"/>
      <c r="M12" s="423"/>
      <c r="N12" s="423"/>
      <c r="O12" s="423"/>
    </row>
    <row r="13" spans="1:15" ht="40.5" customHeight="1">
      <c r="A13" s="167">
        <v>2</v>
      </c>
      <c r="B13" s="168" t="s">
        <v>335</v>
      </c>
      <c r="C13" s="169">
        <v>805459</v>
      </c>
      <c r="D13" s="170"/>
      <c r="E13" s="170"/>
      <c r="F13" s="170"/>
      <c r="G13" s="170"/>
      <c r="H13" s="171"/>
      <c r="I13" s="170"/>
      <c r="J13" s="170"/>
      <c r="K13" s="171"/>
      <c r="L13" s="172"/>
      <c r="M13" s="170"/>
      <c r="N13" s="170"/>
      <c r="O13" s="173"/>
    </row>
    <row r="14" spans="1:15" ht="18">
      <c r="A14" s="426">
        <v>3</v>
      </c>
      <c r="B14" s="174" t="s">
        <v>336</v>
      </c>
      <c r="C14" s="428">
        <v>3722</v>
      </c>
      <c r="D14" s="254">
        <f>C14/C13*100000</f>
        <v>462.0967671849219</v>
      </c>
      <c r="E14" s="176"/>
      <c r="F14" s="176"/>
      <c r="G14" s="176"/>
      <c r="H14" s="177"/>
      <c r="I14" s="178"/>
      <c r="J14" s="178"/>
      <c r="K14" s="177"/>
      <c r="L14" s="179"/>
      <c r="M14" s="180"/>
      <c r="N14" s="181"/>
      <c r="O14" s="182"/>
    </row>
    <row r="15" spans="1:15" ht="18">
      <c r="A15" s="427"/>
      <c r="B15" s="174" t="s">
        <v>316</v>
      </c>
      <c r="C15" s="429"/>
      <c r="D15" s="176"/>
      <c r="E15" s="176"/>
      <c r="F15" s="176"/>
      <c r="G15" s="176"/>
      <c r="H15" s="177"/>
      <c r="I15" s="178"/>
      <c r="J15" s="178"/>
      <c r="K15" s="177"/>
      <c r="L15" s="179"/>
      <c r="M15" s="180"/>
      <c r="N15" s="181"/>
      <c r="O15" s="182"/>
    </row>
    <row r="16" spans="1:15" ht="38.25" customHeight="1">
      <c r="A16" s="183" t="s">
        <v>317</v>
      </c>
      <c r="B16" s="142" t="s">
        <v>535</v>
      </c>
      <c r="C16" s="169">
        <f>C14/4</f>
        <v>930.5</v>
      </c>
      <c r="D16" s="184"/>
      <c r="E16" s="178"/>
      <c r="F16" s="176"/>
      <c r="G16" s="176"/>
      <c r="H16" s="177"/>
      <c r="I16" s="178"/>
      <c r="J16" s="178"/>
      <c r="K16" s="177"/>
      <c r="L16" s="179"/>
      <c r="M16" s="180"/>
      <c r="N16" s="181"/>
      <c r="O16" s="182"/>
    </row>
    <row r="17" spans="1:15" s="187" customFormat="1" ht="44.25" customHeight="1">
      <c r="A17" s="167">
        <v>4</v>
      </c>
      <c r="B17" s="185" t="s">
        <v>328</v>
      </c>
      <c r="C17" s="186">
        <v>1.056</v>
      </c>
      <c r="D17" s="176"/>
      <c r="E17" s="257"/>
      <c r="F17" s="176"/>
      <c r="G17" s="176"/>
      <c r="H17" s="177"/>
      <c r="I17" s="178"/>
      <c r="J17" s="178"/>
      <c r="K17" s="177"/>
      <c r="L17" s="179"/>
      <c r="M17" s="180"/>
      <c r="N17" s="181"/>
      <c r="O17" s="182"/>
    </row>
    <row r="18" spans="1:15" ht="38.25" customHeight="1">
      <c r="A18" s="167">
        <v>5</v>
      </c>
      <c r="B18" s="168" t="s">
        <v>338</v>
      </c>
      <c r="C18" s="188">
        <f>C13*C17</f>
        <v>850564.704</v>
      </c>
      <c r="D18" s="176"/>
      <c r="E18" s="176"/>
      <c r="F18" s="176"/>
      <c r="G18" s="176"/>
      <c r="H18" s="177"/>
      <c r="I18" s="178"/>
      <c r="J18" s="178"/>
      <c r="K18" s="177"/>
      <c r="L18" s="179"/>
      <c r="M18" s="180"/>
      <c r="N18" s="181"/>
      <c r="O18" s="182"/>
    </row>
    <row r="19" spans="1:15" ht="51.75" customHeight="1">
      <c r="A19" s="420">
        <v>6</v>
      </c>
      <c r="B19" s="168" t="s">
        <v>329</v>
      </c>
      <c r="C19" s="421">
        <f>C18*C12%</f>
        <v>3912.5976384</v>
      </c>
      <c r="D19" s="176"/>
      <c r="E19" s="256"/>
      <c r="F19" s="176"/>
      <c r="G19" s="176"/>
      <c r="H19" s="177"/>
      <c r="I19" s="178"/>
      <c r="J19" s="178"/>
      <c r="K19" s="177"/>
      <c r="L19" s="179"/>
      <c r="M19" s="180"/>
      <c r="N19" s="181"/>
      <c r="O19" s="182"/>
    </row>
    <row r="20" spans="1:15" ht="30.75" customHeight="1">
      <c r="A20" s="420"/>
      <c r="B20" s="168" t="s">
        <v>316</v>
      </c>
      <c r="C20" s="422"/>
      <c r="D20" s="176"/>
      <c r="E20" s="176"/>
      <c r="F20" s="176"/>
      <c r="G20" s="176"/>
      <c r="H20" s="177"/>
      <c r="I20" s="178"/>
      <c r="J20" s="178"/>
      <c r="K20" s="177"/>
      <c r="L20" s="179"/>
      <c r="M20" s="180"/>
      <c r="N20" s="181"/>
      <c r="O20" s="182"/>
    </row>
    <row r="21" spans="1:15" ht="63.75" customHeight="1">
      <c r="A21" s="190" t="s">
        <v>318</v>
      </c>
      <c r="B21" s="142" t="s">
        <v>339</v>
      </c>
      <c r="C21" s="191">
        <f>(C19/4)*3</f>
        <v>2934.4482288</v>
      </c>
      <c r="D21" s="176"/>
      <c r="E21" s="176"/>
      <c r="F21" s="176"/>
      <c r="G21" s="176"/>
      <c r="H21" s="177"/>
      <c r="I21" s="178"/>
      <c r="J21" s="178"/>
      <c r="K21" s="177"/>
      <c r="L21" s="179"/>
      <c r="M21" s="180"/>
      <c r="N21" s="181"/>
      <c r="O21" s="182"/>
    </row>
    <row r="22" spans="1:15" ht="47.25" customHeight="1">
      <c r="A22" s="190">
        <v>7</v>
      </c>
      <c r="B22" s="168" t="s">
        <v>536</v>
      </c>
      <c r="C22" s="191">
        <f>C16+C21</f>
        <v>3864.9482288</v>
      </c>
      <c r="D22" s="176"/>
      <c r="E22" s="176"/>
      <c r="F22" s="176"/>
      <c r="G22" s="176"/>
      <c r="H22" s="177"/>
      <c r="I22" s="178"/>
      <c r="J22" s="178"/>
      <c r="K22" s="177"/>
      <c r="L22" s="179"/>
      <c r="M22" s="180"/>
      <c r="N22" s="181"/>
      <c r="O22" s="182"/>
    </row>
    <row r="23" spans="1:15" s="147" customFormat="1" ht="42.75" customHeight="1">
      <c r="A23" s="190">
        <v>8</v>
      </c>
      <c r="B23" s="168" t="s">
        <v>319</v>
      </c>
      <c r="C23" s="169">
        <v>60</v>
      </c>
      <c r="D23" s="176"/>
      <c r="E23" s="176"/>
      <c r="F23" s="176"/>
      <c r="G23" s="176"/>
      <c r="H23" s="177"/>
      <c r="I23" s="178"/>
      <c r="J23" s="178"/>
      <c r="K23" s="177"/>
      <c r="L23" s="179"/>
      <c r="M23" s="180"/>
      <c r="N23" s="181"/>
      <c r="O23" s="182"/>
    </row>
    <row r="24" spans="1:15" ht="52.5" customHeight="1">
      <c r="A24" s="189">
        <v>9</v>
      </c>
      <c r="B24" s="174" t="s">
        <v>537</v>
      </c>
      <c r="C24" s="175">
        <f>C22+C23</f>
        <v>3924.9482288</v>
      </c>
      <c r="D24" s="176"/>
      <c r="E24" s="176"/>
      <c r="F24" s="176"/>
      <c r="G24" s="176"/>
      <c r="H24" s="177"/>
      <c r="I24" s="178"/>
      <c r="J24" s="178"/>
      <c r="K24" s="177"/>
      <c r="L24" s="179"/>
      <c r="M24" s="180"/>
      <c r="N24" s="181"/>
      <c r="O24" s="182"/>
    </row>
    <row r="25" spans="1:15" ht="69.75" customHeight="1" thickBot="1">
      <c r="A25" s="192">
        <v>10</v>
      </c>
      <c r="B25" s="193" t="s">
        <v>555</v>
      </c>
      <c r="C25" s="194">
        <f>C24/2</f>
        <v>1962.4741144</v>
      </c>
      <c r="D25" s="176"/>
      <c r="E25" s="176"/>
      <c r="F25" s="176"/>
      <c r="G25" s="176"/>
      <c r="H25" s="195"/>
      <c r="I25" s="196"/>
      <c r="J25" s="178"/>
      <c r="K25" s="177"/>
      <c r="L25" s="179"/>
      <c r="M25" s="182"/>
      <c r="N25" s="181"/>
      <c r="O25" s="182"/>
    </row>
    <row r="26" spans="1:15" ht="18">
      <c r="A26" s="197"/>
      <c r="B26" s="64"/>
      <c r="C26" s="64"/>
      <c r="G26" s="65"/>
      <c r="H26" s="65"/>
      <c r="I26" s="65"/>
      <c r="J26" s="65"/>
      <c r="K26" s="65"/>
      <c r="L26" s="65"/>
      <c r="M26" s="65"/>
      <c r="N26" s="65"/>
      <c r="O26" s="65"/>
    </row>
    <row r="27" spans="7:15" ht="18">
      <c r="G27" s="65"/>
      <c r="H27" s="65"/>
      <c r="I27" s="65"/>
      <c r="J27" s="65"/>
      <c r="K27" s="65"/>
      <c r="L27" s="65"/>
      <c r="M27" s="65"/>
      <c r="N27" s="65"/>
      <c r="O27" s="65"/>
    </row>
    <row r="28" spans="7:15" ht="18">
      <c r="G28" s="65"/>
      <c r="H28" s="65"/>
      <c r="I28" s="65"/>
      <c r="J28" s="65"/>
      <c r="K28" s="65"/>
      <c r="L28" s="65"/>
      <c r="M28" s="65"/>
      <c r="N28" s="65"/>
      <c r="O28" s="65"/>
    </row>
    <row r="29" spans="7:15" ht="18">
      <c r="G29" s="65"/>
      <c r="H29" s="65"/>
      <c r="I29" s="65"/>
      <c r="J29" s="65"/>
      <c r="K29" s="65"/>
      <c r="L29" s="65"/>
      <c r="M29" s="65"/>
      <c r="N29" s="65"/>
      <c r="O29" s="65"/>
    </row>
    <row r="30" spans="7:15" ht="18">
      <c r="G30" s="65"/>
      <c r="H30" s="65"/>
      <c r="I30" s="65"/>
      <c r="J30" s="65"/>
      <c r="K30" s="65"/>
      <c r="L30" s="65"/>
      <c r="M30" s="65"/>
      <c r="N30" s="65"/>
      <c r="O30" s="65"/>
    </row>
    <row r="31" spans="7:15" ht="18">
      <c r="G31" s="65"/>
      <c r="H31" s="65"/>
      <c r="I31" s="65"/>
      <c r="J31" s="65"/>
      <c r="K31" s="65"/>
      <c r="L31" s="65"/>
      <c r="M31" s="65"/>
      <c r="N31" s="65"/>
      <c r="O31" s="65"/>
    </row>
    <row r="32" spans="7:15" ht="18">
      <c r="G32" s="65"/>
      <c r="H32" s="65"/>
      <c r="I32" s="65"/>
      <c r="J32" s="65"/>
      <c r="K32" s="65"/>
      <c r="L32" s="65"/>
      <c r="M32" s="65"/>
      <c r="N32" s="65"/>
      <c r="O32" s="65"/>
    </row>
    <row r="33" spans="7:15" ht="18">
      <c r="G33" s="65"/>
      <c r="H33" s="65"/>
      <c r="I33" s="65"/>
      <c r="J33" s="65"/>
      <c r="K33" s="65"/>
      <c r="L33" s="65"/>
      <c r="M33" s="65"/>
      <c r="N33" s="65"/>
      <c r="O33" s="65"/>
    </row>
    <row r="34" spans="7:15" ht="18">
      <c r="G34" s="65"/>
      <c r="H34" s="65"/>
      <c r="I34" s="65"/>
      <c r="J34" s="65"/>
      <c r="K34" s="65"/>
      <c r="L34" s="65"/>
      <c r="M34" s="65"/>
      <c r="N34" s="65"/>
      <c r="O34" s="65"/>
    </row>
    <row r="35" spans="7:15" ht="18">
      <c r="G35" s="65"/>
      <c r="H35" s="65"/>
      <c r="I35" s="65"/>
      <c r="J35" s="65"/>
      <c r="K35" s="65"/>
      <c r="L35" s="65"/>
      <c r="M35" s="65"/>
      <c r="N35" s="65"/>
      <c r="O35" s="65"/>
    </row>
    <row r="36" spans="7:15" ht="18">
      <c r="G36" s="65"/>
      <c r="H36" s="65"/>
      <c r="I36" s="65"/>
      <c r="J36" s="65"/>
      <c r="K36" s="65"/>
      <c r="L36" s="65"/>
      <c r="M36" s="65"/>
      <c r="N36" s="65"/>
      <c r="O36" s="65"/>
    </row>
    <row r="37" spans="7:15" ht="18">
      <c r="G37" s="65"/>
      <c r="H37" s="65"/>
      <c r="I37" s="65"/>
      <c r="J37" s="65"/>
      <c r="K37" s="65"/>
      <c r="L37" s="65"/>
      <c r="M37" s="65"/>
      <c r="N37" s="65"/>
      <c r="O37" s="65"/>
    </row>
    <row r="38" spans="7:15" ht="18">
      <c r="G38" s="65"/>
      <c r="H38" s="65"/>
      <c r="I38" s="65"/>
      <c r="J38" s="65"/>
      <c r="K38" s="65"/>
      <c r="L38" s="65"/>
      <c r="M38" s="65"/>
      <c r="N38" s="65"/>
      <c r="O38" s="65"/>
    </row>
    <row r="39" spans="7:15" ht="18">
      <c r="G39" s="65"/>
      <c r="H39" s="65"/>
      <c r="I39" s="65"/>
      <c r="J39" s="65"/>
      <c r="K39" s="65"/>
      <c r="L39" s="65"/>
      <c r="M39" s="65"/>
      <c r="N39" s="65"/>
      <c r="O39" s="65"/>
    </row>
    <row r="40" spans="7:15" ht="18">
      <c r="G40" s="65"/>
      <c r="H40" s="65"/>
      <c r="I40" s="65"/>
      <c r="J40" s="65"/>
      <c r="K40" s="65"/>
      <c r="L40" s="65"/>
      <c r="M40" s="65"/>
      <c r="N40" s="65"/>
      <c r="O40" s="65"/>
    </row>
    <row r="41" spans="7:15" ht="18">
      <c r="G41" s="65"/>
      <c r="H41" s="65"/>
      <c r="I41" s="65"/>
      <c r="J41" s="65"/>
      <c r="K41" s="65"/>
      <c r="L41" s="65"/>
      <c r="M41" s="65"/>
      <c r="N41" s="65"/>
      <c r="O41" s="65"/>
    </row>
    <row r="42" spans="7:15" ht="18">
      <c r="G42" s="65"/>
      <c r="H42" s="65"/>
      <c r="I42" s="65"/>
      <c r="J42" s="65"/>
      <c r="K42" s="65"/>
      <c r="L42" s="65"/>
      <c r="M42" s="65"/>
      <c r="N42" s="65"/>
      <c r="O42" s="65"/>
    </row>
    <row r="43" spans="7:15" ht="18">
      <c r="G43" s="65"/>
      <c r="H43" s="65"/>
      <c r="I43" s="65"/>
      <c r="J43" s="65"/>
      <c r="K43" s="65"/>
      <c r="L43" s="65"/>
      <c r="M43" s="65"/>
      <c r="N43" s="65"/>
      <c r="O43" s="65"/>
    </row>
    <row r="44" spans="7:15" ht="18">
      <c r="G44" s="65"/>
      <c r="H44" s="65"/>
      <c r="I44" s="65"/>
      <c r="J44" s="65"/>
      <c r="K44" s="65"/>
      <c r="L44" s="65"/>
      <c r="M44" s="65"/>
      <c r="N44" s="65"/>
      <c r="O44" s="65"/>
    </row>
    <row r="45" spans="7:15" ht="18">
      <c r="G45" s="65"/>
      <c r="H45" s="65"/>
      <c r="I45" s="65"/>
      <c r="J45" s="65"/>
      <c r="K45" s="65"/>
      <c r="L45" s="65"/>
      <c r="M45" s="65"/>
      <c r="N45" s="65"/>
      <c r="O45" s="65"/>
    </row>
    <row r="46" spans="7:15" ht="18">
      <c r="G46" s="65"/>
      <c r="H46" s="65"/>
      <c r="I46" s="65"/>
      <c r="J46" s="65"/>
      <c r="K46" s="65"/>
      <c r="L46" s="65"/>
      <c r="M46" s="65"/>
      <c r="N46" s="65"/>
      <c r="O46" s="65"/>
    </row>
    <row r="47" spans="7:15" ht="18">
      <c r="G47" s="65"/>
      <c r="H47" s="65"/>
      <c r="I47" s="65"/>
      <c r="J47" s="65"/>
      <c r="K47" s="65"/>
      <c r="L47" s="65"/>
      <c r="M47" s="65"/>
      <c r="N47" s="65"/>
      <c r="O47" s="65"/>
    </row>
    <row r="48" spans="7:15" ht="18">
      <c r="G48" s="65"/>
      <c r="H48" s="65"/>
      <c r="I48" s="65"/>
      <c r="J48" s="65"/>
      <c r="K48" s="65"/>
      <c r="L48" s="65"/>
      <c r="M48" s="65"/>
      <c r="N48" s="65"/>
      <c r="O48" s="65"/>
    </row>
    <row r="49" spans="7:15" ht="18">
      <c r="G49" s="65"/>
      <c r="H49" s="65"/>
      <c r="I49" s="65"/>
      <c r="J49" s="65"/>
      <c r="K49" s="65"/>
      <c r="L49" s="65"/>
      <c r="M49" s="65"/>
      <c r="N49" s="65"/>
      <c r="O49" s="65"/>
    </row>
    <row r="50" spans="7:15" ht="18">
      <c r="G50" s="65"/>
      <c r="H50" s="65"/>
      <c r="I50" s="65"/>
      <c r="J50" s="65"/>
      <c r="K50" s="65"/>
      <c r="L50" s="65"/>
      <c r="M50" s="65"/>
      <c r="N50" s="65"/>
      <c r="O50" s="65"/>
    </row>
    <row r="51" spans="7:15" ht="18">
      <c r="G51" s="65"/>
      <c r="H51" s="65"/>
      <c r="I51" s="65"/>
      <c r="J51" s="65"/>
      <c r="K51" s="65"/>
      <c r="L51" s="65"/>
      <c r="M51" s="65"/>
      <c r="N51" s="65"/>
      <c r="O51" s="65"/>
    </row>
    <row r="52" spans="7:15" ht="18">
      <c r="G52" s="65"/>
      <c r="H52" s="65"/>
      <c r="I52" s="65"/>
      <c r="J52" s="65"/>
      <c r="K52" s="65"/>
      <c r="L52" s="65"/>
      <c r="M52" s="65"/>
      <c r="N52" s="65"/>
      <c r="O52" s="65"/>
    </row>
    <row r="53" spans="7:15" ht="18">
      <c r="G53" s="65"/>
      <c r="H53" s="65"/>
      <c r="I53" s="65"/>
      <c r="J53" s="65"/>
      <c r="K53" s="65"/>
      <c r="L53" s="65"/>
      <c r="M53" s="65"/>
      <c r="N53" s="65"/>
      <c r="O53" s="65"/>
    </row>
    <row r="54" spans="7:15" ht="18">
      <c r="G54" s="65"/>
      <c r="H54" s="65"/>
      <c r="I54" s="65"/>
      <c r="J54" s="65"/>
      <c r="K54" s="65"/>
      <c r="L54" s="65"/>
      <c r="M54" s="65"/>
      <c r="N54" s="65"/>
      <c r="O54" s="65"/>
    </row>
    <row r="55" spans="7:15" ht="18">
      <c r="G55" s="65"/>
      <c r="H55" s="65"/>
      <c r="I55" s="65"/>
      <c r="J55" s="65"/>
      <c r="K55" s="65"/>
      <c r="L55" s="65"/>
      <c r="M55" s="65"/>
      <c r="N55" s="65"/>
      <c r="O55" s="65"/>
    </row>
    <row r="56" spans="7:15" ht="18">
      <c r="G56" s="65"/>
      <c r="H56" s="65"/>
      <c r="I56" s="65"/>
      <c r="J56" s="65"/>
      <c r="K56" s="65"/>
      <c r="L56" s="65"/>
      <c r="M56" s="65"/>
      <c r="N56" s="65"/>
      <c r="O56" s="65"/>
    </row>
    <row r="57" spans="7:15" ht="18">
      <c r="G57" s="65"/>
      <c r="H57" s="65"/>
      <c r="I57" s="65"/>
      <c r="J57" s="65"/>
      <c r="K57" s="65"/>
      <c r="L57" s="65"/>
      <c r="M57" s="65"/>
      <c r="N57" s="65"/>
      <c r="O57" s="65"/>
    </row>
    <row r="58" spans="7:15" ht="18">
      <c r="G58" s="65"/>
      <c r="H58" s="65"/>
      <c r="I58" s="65"/>
      <c r="J58" s="65"/>
      <c r="K58" s="65"/>
      <c r="L58" s="65"/>
      <c r="M58" s="65"/>
      <c r="N58" s="65"/>
      <c r="O58" s="65"/>
    </row>
    <row r="59" spans="7:15" ht="18">
      <c r="G59" s="65"/>
      <c r="H59" s="65"/>
      <c r="I59" s="65"/>
      <c r="J59" s="65"/>
      <c r="K59" s="65"/>
      <c r="L59" s="65"/>
      <c r="M59" s="65"/>
      <c r="N59" s="65"/>
      <c r="O59" s="65"/>
    </row>
    <row r="60" spans="7:15" ht="18">
      <c r="G60" s="65"/>
      <c r="H60" s="65"/>
      <c r="I60" s="65"/>
      <c r="J60" s="65"/>
      <c r="K60" s="65"/>
      <c r="L60" s="65"/>
      <c r="M60" s="65"/>
      <c r="N60" s="65"/>
      <c r="O60" s="65"/>
    </row>
    <row r="61" spans="7:15" ht="18">
      <c r="G61" s="65"/>
      <c r="H61" s="65"/>
      <c r="I61" s="65"/>
      <c r="J61" s="65"/>
      <c r="K61" s="65"/>
      <c r="L61" s="65"/>
      <c r="M61" s="65"/>
      <c r="N61" s="65"/>
      <c r="O61" s="65"/>
    </row>
    <row r="62" spans="7:15" ht="18">
      <c r="G62" s="65"/>
      <c r="H62" s="65"/>
      <c r="I62" s="65"/>
      <c r="J62" s="65"/>
      <c r="K62" s="65"/>
      <c r="L62" s="65"/>
      <c r="M62" s="65"/>
      <c r="N62" s="65"/>
      <c r="O62" s="65"/>
    </row>
    <row r="63" spans="7:15" ht="18">
      <c r="G63" s="65"/>
      <c r="H63" s="65"/>
      <c r="I63" s="65"/>
      <c r="J63" s="65"/>
      <c r="K63" s="65"/>
      <c r="L63" s="65"/>
      <c r="M63" s="65"/>
      <c r="N63" s="65"/>
      <c r="O63" s="65"/>
    </row>
    <row r="64" spans="7:15" ht="18">
      <c r="G64" s="65"/>
      <c r="H64" s="65"/>
      <c r="I64" s="65"/>
      <c r="J64" s="65"/>
      <c r="K64" s="65"/>
      <c r="L64" s="65"/>
      <c r="M64" s="65"/>
      <c r="N64" s="65"/>
      <c r="O64" s="65"/>
    </row>
  </sheetData>
  <sheetProtection/>
  <mergeCells count="9">
    <mergeCell ref="A19:A20"/>
    <mergeCell ref="C19:C20"/>
    <mergeCell ref="B1:C1"/>
    <mergeCell ref="B2:C2"/>
    <mergeCell ref="A9:C9"/>
    <mergeCell ref="M12:O12"/>
    <mergeCell ref="B6:C6"/>
    <mergeCell ref="A14:A15"/>
    <mergeCell ref="C14:C15"/>
  </mergeCells>
  <printOptions/>
  <pageMargins left="0.75" right="0.75" top="0.29" bottom="0.41" header="0.17" footer="0.15"/>
  <pageSetup horizontalDpi="600" verticalDpi="600" orientation="landscape" paperSize="9" scale="59" r:id="rId1"/>
  <colBreaks count="1" manualBreakCount="1">
    <brk id="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37"/>
  <sheetViews>
    <sheetView zoomScale="75" zoomScaleNormal="75" zoomScalePageLayoutView="0" workbookViewId="0" topLeftCell="A55">
      <selection activeCell="C11" sqref="C11"/>
    </sheetView>
  </sheetViews>
  <sheetFormatPr defaultColWidth="9.125" defaultRowHeight="12.75"/>
  <cols>
    <col min="1" max="1" width="7.125" style="152" customWidth="1"/>
    <col min="2" max="2" width="103.125" style="60" customWidth="1"/>
    <col min="3" max="3" width="41.125" style="60" customWidth="1"/>
    <col min="4" max="4" width="10.125" style="60" customWidth="1"/>
    <col min="5" max="5" width="9.125" style="60" customWidth="1"/>
    <col min="6" max="6" width="10.125" style="60" bestFit="1" customWidth="1"/>
    <col min="7" max="7" width="11.00390625" style="60" customWidth="1"/>
    <col min="8" max="8" width="10.125" style="60" bestFit="1" customWidth="1"/>
    <col min="9" max="9" width="11.875" style="60" bestFit="1" customWidth="1"/>
    <col min="10" max="16384" width="9.125" style="60" customWidth="1"/>
  </cols>
  <sheetData>
    <row r="1" spans="2:3" ht="18">
      <c r="B1" s="362" t="s">
        <v>320</v>
      </c>
      <c r="C1" s="362"/>
    </row>
    <row r="3" spans="1:3" ht="46.5" customHeight="1">
      <c r="A3" s="355" t="s">
        <v>561</v>
      </c>
      <c r="B3" s="355"/>
      <c r="C3" s="355"/>
    </row>
    <row r="4" ht="11.25" customHeight="1" thickBot="1">
      <c r="B4" s="156"/>
    </row>
    <row r="5" spans="1:10" s="161" customFormat="1" ht="51" customHeight="1">
      <c r="A5" s="198" t="s">
        <v>314</v>
      </c>
      <c r="B5" s="199" t="s">
        <v>296</v>
      </c>
      <c r="C5" s="200" t="s">
        <v>334</v>
      </c>
      <c r="D5" s="64"/>
      <c r="E5" s="64"/>
      <c r="F5" s="60"/>
      <c r="G5" s="60"/>
      <c r="H5" s="60"/>
      <c r="I5" s="60"/>
      <c r="J5" s="60"/>
    </row>
    <row r="6" spans="1:10" s="161" customFormat="1" ht="22.5" customHeight="1">
      <c r="A6" s="201">
        <v>1</v>
      </c>
      <c r="B6" s="168" t="s">
        <v>315</v>
      </c>
      <c r="C6" s="258">
        <v>0.46</v>
      </c>
      <c r="D6" s="62"/>
      <c r="E6" s="64"/>
      <c r="F6" s="60"/>
      <c r="G6" s="60"/>
      <c r="H6" s="60"/>
      <c r="I6" s="60"/>
      <c r="J6" s="60"/>
    </row>
    <row r="7" spans="1:5" ht="61.5" customHeight="1">
      <c r="A7" s="203">
        <v>2</v>
      </c>
      <c r="B7" s="168" t="s">
        <v>338</v>
      </c>
      <c r="C7" s="204">
        <f>'прил 4'!C18</f>
        <v>850564.704</v>
      </c>
      <c r="D7" s="62"/>
      <c r="E7" s="64"/>
    </row>
    <row r="8" spans="1:5" ht="21.75" customHeight="1">
      <c r="A8" s="430">
        <v>3</v>
      </c>
      <c r="B8" s="174" t="s">
        <v>329</v>
      </c>
      <c r="C8" s="432">
        <f>C7*0.46%</f>
        <v>3912.5976384</v>
      </c>
      <c r="D8" s="62"/>
      <c r="E8" s="64"/>
    </row>
    <row r="9" spans="1:5" ht="22.5" customHeight="1">
      <c r="A9" s="431"/>
      <c r="B9" s="174" t="s">
        <v>316</v>
      </c>
      <c r="C9" s="433"/>
      <c r="D9" s="62"/>
      <c r="E9" s="64"/>
    </row>
    <row r="10" spans="1:5" ht="35.25" customHeight="1">
      <c r="A10" s="205" t="s">
        <v>317</v>
      </c>
      <c r="B10" s="142" t="s">
        <v>539</v>
      </c>
      <c r="C10" s="204">
        <f>C8/4</f>
        <v>978.1494096</v>
      </c>
      <c r="D10" s="62"/>
      <c r="E10" s="64"/>
    </row>
    <row r="11" spans="1:5" s="187" customFormat="1" ht="43.5" customHeight="1">
      <c r="A11" s="203">
        <v>4</v>
      </c>
      <c r="B11" s="185" t="s">
        <v>328</v>
      </c>
      <c r="C11" s="202">
        <v>1.058</v>
      </c>
      <c r="D11" s="206"/>
      <c r="E11" s="207"/>
    </row>
    <row r="12" spans="1:5" ht="49.5" customHeight="1">
      <c r="A12" s="203">
        <v>5</v>
      </c>
      <c r="B12" s="208" t="s">
        <v>331</v>
      </c>
      <c r="C12" s="204">
        <f>C7*C11</f>
        <v>899897.456832</v>
      </c>
      <c r="D12" s="62"/>
      <c r="E12" s="64"/>
    </row>
    <row r="13" spans="1:5" ht="21.75" customHeight="1">
      <c r="A13" s="438">
        <v>6</v>
      </c>
      <c r="B13" s="168" t="s">
        <v>540</v>
      </c>
      <c r="C13" s="440">
        <f>C12*C6%</f>
        <v>4139.5283014272</v>
      </c>
      <c r="D13" s="62"/>
      <c r="E13" s="64"/>
    </row>
    <row r="14" spans="1:5" ht="18.75" customHeight="1">
      <c r="A14" s="439"/>
      <c r="B14" s="174" t="s">
        <v>316</v>
      </c>
      <c r="C14" s="441"/>
      <c r="D14" s="62"/>
      <c r="E14" s="64"/>
    </row>
    <row r="15" spans="1:5" ht="36">
      <c r="A15" s="201" t="s">
        <v>318</v>
      </c>
      <c r="B15" s="142" t="s">
        <v>332</v>
      </c>
      <c r="C15" s="209">
        <f>(C13/4)*3</f>
        <v>3104.6462260704</v>
      </c>
      <c r="D15" s="62"/>
      <c r="E15" s="64"/>
    </row>
    <row r="16" spans="1:5" ht="36">
      <c r="A16" s="201">
        <v>7</v>
      </c>
      <c r="B16" s="168" t="s">
        <v>330</v>
      </c>
      <c r="C16" s="209">
        <f>C10+C15</f>
        <v>4082.7956356704003</v>
      </c>
      <c r="D16" s="62"/>
      <c r="E16" s="64"/>
    </row>
    <row r="17" spans="1:5" s="147" customFormat="1" ht="18">
      <c r="A17" s="201">
        <v>8</v>
      </c>
      <c r="B17" s="168" t="s">
        <v>319</v>
      </c>
      <c r="C17" s="204">
        <v>50</v>
      </c>
      <c r="D17" s="210"/>
      <c r="E17" s="210"/>
    </row>
    <row r="18" spans="1:3" ht="41.25" customHeight="1">
      <c r="A18" s="211">
        <v>9</v>
      </c>
      <c r="B18" s="168" t="s">
        <v>333</v>
      </c>
      <c r="C18" s="204">
        <f>C16+C17</f>
        <v>4132.7956356704</v>
      </c>
    </row>
    <row r="19" spans="1:3" ht="35.25" thickBot="1">
      <c r="A19" s="212">
        <v>10</v>
      </c>
      <c r="B19" s="193" t="s">
        <v>538</v>
      </c>
      <c r="C19" s="213">
        <f>C18/2</f>
        <v>2066.3978178352</v>
      </c>
    </row>
    <row r="20" spans="1:3" ht="18">
      <c r="A20" s="214"/>
      <c r="B20" s="174"/>
      <c r="C20" s="215"/>
    </row>
    <row r="21" spans="1:3" ht="21">
      <c r="A21" s="216"/>
      <c r="B21" s="217"/>
      <c r="C21" s="218"/>
    </row>
    <row r="22" spans="1:3" ht="21" thickBot="1">
      <c r="A22" s="216"/>
      <c r="B22" s="217"/>
      <c r="C22" s="218"/>
    </row>
    <row r="23" spans="1:3" ht="51.75">
      <c r="A23" s="198" t="s">
        <v>314</v>
      </c>
      <c r="B23" s="199" t="s">
        <v>296</v>
      </c>
      <c r="C23" s="200" t="s">
        <v>541</v>
      </c>
    </row>
    <row r="24" spans="1:3" ht="33" customHeight="1">
      <c r="A24" s="190">
        <v>1</v>
      </c>
      <c r="B24" s="168" t="s">
        <v>315</v>
      </c>
      <c r="C24" s="186">
        <v>0.46</v>
      </c>
    </row>
    <row r="25" spans="1:3" ht="42" customHeight="1">
      <c r="A25" s="167">
        <v>2</v>
      </c>
      <c r="B25" s="168" t="s">
        <v>331</v>
      </c>
      <c r="C25" s="169">
        <f>C12</f>
        <v>899897.456832</v>
      </c>
    </row>
    <row r="26" spans="1:3" ht="18">
      <c r="A26" s="426">
        <v>3</v>
      </c>
      <c r="B26" s="174" t="s">
        <v>540</v>
      </c>
      <c r="C26" s="428">
        <f>C25*0.55%</f>
        <v>4949.436012576</v>
      </c>
    </row>
    <row r="27" spans="1:3" ht="18">
      <c r="A27" s="427"/>
      <c r="B27" s="174" t="s">
        <v>316</v>
      </c>
      <c r="C27" s="429"/>
    </row>
    <row r="28" spans="1:3" ht="45" customHeight="1">
      <c r="A28" s="183" t="s">
        <v>317</v>
      </c>
      <c r="B28" s="142" t="s">
        <v>542</v>
      </c>
      <c r="C28" s="169">
        <f>C26/4</f>
        <v>1237.359003144</v>
      </c>
    </row>
    <row r="29" spans="1:3" ht="58.5" customHeight="1">
      <c r="A29" s="167">
        <v>4</v>
      </c>
      <c r="B29" s="185" t="s">
        <v>328</v>
      </c>
      <c r="C29" s="186">
        <v>1.062</v>
      </c>
    </row>
    <row r="30" spans="1:3" ht="43.5" customHeight="1">
      <c r="A30" s="167">
        <v>5</v>
      </c>
      <c r="B30" s="208" t="s">
        <v>543</v>
      </c>
      <c r="C30" s="169">
        <f>C25*C29</f>
        <v>955691.0991555841</v>
      </c>
    </row>
    <row r="31" spans="1:3" ht="18">
      <c r="A31" s="434">
        <v>6</v>
      </c>
      <c r="B31" s="174" t="s">
        <v>544</v>
      </c>
      <c r="C31" s="436">
        <f>C30*C24%</f>
        <v>4396.179056115687</v>
      </c>
    </row>
    <row r="32" spans="1:3" ht="18">
      <c r="A32" s="435"/>
      <c r="B32" s="174" t="s">
        <v>316</v>
      </c>
      <c r="C32" s="437"/>
    </row>
    <row r="33" spans="1:3" ht="36">
      <c r="A33" s="190" t="s">
        <v>318</v>
      </c>
      <c r="B33" s="142" t="s">
        <v>545</v>
      </c>
      <c r="C33" s="191">
        <f>(C31/4)*3</f>
        <v>3297.134292086765</v>
      </c>
    </row>
    <row r="34" spans="1:3" ht="38.25" customHeight="1">
      <c r="A34" s="190">
        <v>7</v>
      </c>
      <c r="B34" s="168" t="s">
        <v>546</v>
      </c>
      <c r="C34" s="191">
        <f>C28+C33</f>
        <v>4534.493295230765</v>
      </c>
    </row>
    <row r="35" spans="1:7" s="147" customFormat="1" ht="30" customHeight="1">
      <c r="A35" s="190">
        <v>8</v>
      </c>
      <c r="B35" s="168" t="s">
        <v>319</v>
      </c>
      <c r="C35" s="169">
        <v>30</v>
      </c>
      <c r="G35" s="147">
        <v>4000</v>
      </c>
    </row>
    <row r="36" spans="1:3" ht="42.75" customHeight="1">
      <c r="A36" s="219">
        <v>9</v>
      </c>
      <c r="B36" s="174" t="s">
        <v>547</v>
      </c>
      <c r="C36" s="220">
        <f>C34+C35</f>
        <v>4564.493295230765</v>
      </c>
    </row>
    <row r="37" spans="1:3" ht="45.75" customHeight="1" thickBot="1">
      <c r="A37" s="192">
        <v>10</v>
      </c>
      <c r="B37" s="193" t="s">
        <v>548</v>
      </c>
      <c r="C37" s="194">
        <f>C36/2</f>
        <v>2282.2466476153827</v>
      </c>
    </row>
  </sheetData>
  <sheetProtection/>
  <mergeCells count="10">
    <mergeCell ref="B1:C1"/>
    <mergeCell ref="A3:C3"/>
    <mergeCell ref="A8:A9"/>
    <mergeCell ref="C8:C9"/>
    <mergeCell ref="A31:A32"/>
    <mergeCell ref="C31:C32"/>
    <mergeCell ref="A13:A14"/>
    <mergeCell ref="C13:C14"/>
    <mergeCell ref="A26:A27"/>
    <mergeCell ref="C26:C27"/>
  </mergeCells>
  <printOptions/>
  <pageMargins left="0.75" right="0.75" top="0.62" bottom="0.56" header="0.35" footer="0.33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128"/>
  <sheetViews>
    <sheetView view="pageBreakPreview" zoomScale="61" zoomScaleNormal="76" zoomScaleSheetLayoutView="61" workbookViewId="0" topLeftCell="B1">
      <selection activeCell="D56" sqref="D56"/>
    </sheetView>
  </sheetViews>
  <sheetFormatPr defaultColWidth="9.125" defaultRowHeight="12.75"/>
  <cols>
    <col min="1" max="1" width="0.875" style="56" hidden="1" customWidth="1"/>
    <col min="2" max="2" width="12.50390625" style="285" customWidth="1"/>
    <col min="3" max="3" width="34.375" style="87" customWidth="1"/>
    <col min="4" max="4" width="59.50390625" style="49" customWidth="1"/>
    <col min="5" max="5" width="0.12890625" style="56" hidden="1" customWidth="1"/>
    <col min="6" max="6" width="13.50390625" style="56" hidden="1" customWidth="1"/>
    <col min="7" max="7" width="0.12890625" style="56" hidden="1" customWidth="1"/>
    <col min="8" max="8" width="6.50390625" style="56" hidden="1" customWidth="1"/>
    <col min="9" max="9" width="11.125" style="56" hidden="1" customWidth="1"/>
    <col min="10" max="10" width="19.875" style="237" customWidth="1"/>
    <col min="11" max="11" width="19.625" style="321" customWidth="1"/>
    <col min="12" max="12" width="21.25390625" style="237" customWidth="1"/>
    <col min="13" max="13" width="0.12890625" style="339" customWidth="1"/>
    <col min="14" max="14" width="15.625" style="148" customWidth="1"/>
    <col min="15" max="15" width="26.75390625" style="56" customWidth="1"/>
    <col min="16" max="16384" width="9.125" style="56" customWidth="1"/>
  </cols>
  <sheetData>
    <row r="1" spans="2:14" s="49" customFormat="1" ht="123.75" customHeight="1">
      <c r="B1" s="285"/>
      <c r="C1" s="87"/>
      <c r="D1" s="46" t="s">
        <v>388</v>
      </c>
      <c r="E1" s="362"/>
      <c r="F1" s="362"/>
      <c r="G1" s="363"/>
      <c r="H1" s="362"/>
      <c r="I1" s="362"/>
      <c r="J1" s="362" t="s">
        <v>785</v>
      </c>
      <c r="K1" s="362"/>
      <c r="L1" s="362"/>
      <c r="M1" s="338"/>
      <c r="N1" s="279"/>
    </row>
    <row r="2" spans="2:14" s="49" customFormat="1" ht="31.5" customHeight="1" hidden="1">
      <c r="B2" s="285"/>
      <c r="C2" s="87"/>
      <c r="D2" s="46"/>
      <c r="E2" s="260" t="s">
        <v>388</v>
      </c>
      <c r="F2" s="260"/>
      <c r="G2" s="260"/>
      <c r="H2" s="260"/>
      <c r="I2" s="260"/>
      <c r="J2" s="304"/>
      <c r="K2" s="320"/>
      <c r="L2" s="304"/>
      <c r="M2" s="338"/>
      <c r="N2" s="279"/>
    </row>
    <row r="3" spans="2:14" s="49" customFormat="1" ht="9.75" customHeight="1">
      <c r="B3" s="285"/>
      <c r="C3" s="87" t="s">
        <v>388</v>
      </c>
      <c r="D3" s="46"/>
      <c r="J3" s="305"/>
      <c r="K3" s="321"/>
      <c r="L3" s="305"/>
      <c r="M3" s="338"/>
      <c r="N3" s="279"/>
    </row>
    <row r="4" spans="2:14" s="49" customFormat="1" ht="15" customHeight="1" hidden="1">
      <c r="B4" s="285"/>
      <c r="C4" s="87"/>
      <c r="D4" s="46"/>
      <c r="J4" s="305"/>
      <c r="K4" s="321"/>
      <c r="L4" s="305"/>
      <c r="M4" s="338"/>
      <c r="N4" s="279"/>
    </row>
    <row r="5" spans="2:14" s="49" customFormat="1" ht="15" customHeight="1" hidden="1">
      <c r="B5" s="285"/>
      <c r="C5" s="87"/>
      <c r="D5" s="46"/>
      <c r="J5" s="305"/>
      <c r="K5" s="321"/>
      <c r="L5" s="305"/>
      <c r="M5" s="338"/>
      <c r="N5" s="279"/>
    </row>
    <row r="6" spans="2:14" s="49" customFormat="1" ht="36.75" customHeight="1">
      <c r="B6" s="355" t="s">
        <v>786</v>
      </c>
      <c r="C6" s="356"/>
      <c r="D6" s="356"/>
      <c r="E6" s="356"/>
      <c r="F6" s="356"/>
      <c r="G6" s="356"/>
      <c r="H6" s="356"/>
      <c r="I6" s="357"/>
      <c r="J6" s="357"/>
      <c r="K6" s="357"/>
      <c r="L6" s="357"/>
      <c r="M6" s="338"/>
      <c r="N6" s="279"/>
    </row>
    <row r="8" spans="3:12" ht="18">
      <c r="C8" s="292"/>
      <c r="E8" s="49"/>
      <c r="F8" s="49"/>
      <c r="G8" s="49"/>
      <c r="H8" s="49"/>
      <c r="I8" s="49"/>
      <c r="L8" s="306" t="s">
        <v>615</v>
      </c>
    </row>
    <row r="9" spans="2:13" ht="18.75" customHeight="1">
      <c r="B9" s="358" t="s">
        <v>577</v>
      </c>
      <c r="C9" s="358" t="s">
        <v>562</v>
      </c>
      <c r="D9" s="358" t="s">
        <v>563</v>
      </c>
      <c r="E9" s="360" t="s">
        <v>616</v>
      </c>
      <c r="F9" s="361"/>
      <c r="G9" s="364" t="s">
        <v>751</v>
      </c>
      <c r="H9" s="365"/>
      <c r="I9" s="366"/>
      <c r="J9" s="367"/>
      <c r="K9" s="442" t="s">
        <v>84</v>
      </c>
      <c r="L9" s="444" t="s">
        <v>787</v>
      </c>
      <c r="M9" s="340"/>
    </row>
    <row r="10" spans="2:13" ht="78" customHeight="1">
      <c r="B10" s="359"/>
      <c r="C10" s="359"/>
      <c r="D10" s="359"/>
      <c r="E10" s="263" t="s">
        <v>564</v>
      </c>
      <c r="F10" s="263" t="s">
        <v>565</v>
      </c>
      <c r="G10" s="368"/>
      <c r="H10" s="369"/>
      <c r="I10" s="369"/>
      <c r="J10" s="370"/>
      <c r="K10" s="443"/>
      <c r="L10" s="445"/>
      <c r="M10" s="340"/>
    </row>
    <row r="11" spans="2:15" ht="18">
      <c r="B11" s="284" t="s">
        <v>612</v>
      </c>
      <c r="C11" s="293" t="s">
        <v>578</v>
      </c>
      <c r="D11" s="267" t="s">
        <v>453</v>
      </c>
      <c r="E11" s="268" t="e">
        <f>F11-черн!Z9</f>
        <v>#REF!</v>
      </c>
      <c r="F11" s="268" t="e">
        <f>F12+F26+F38+#REF!+F44+F50+F61+F67+F70+#REF!+F18</f>
        <v>#REF!</v>
      </c>
      <c r="J11" s="268">
        <f>J12+J18+J26+J38+J44+J50+J61+J67+J70+J41</f>
        <v>121329.47600000002</v>
      </c>
      <c r="K11" s="337">
        <f>K12+K18+K26+K44+K50+K61+K67+K70</f>
        <v>6103.795999999998</v>
      </c>
      <c r="L11" s="268">
        <f>L12+L18+L26+L38+L44+L50+L61+L67+L70+L41</f>
        <v>122607.72000000002</v>
      </c>
      <c r="M11" s="341">
        <f>M12+M18+M26+M38+M44+M50+M61+M67+M70</f>
        <v>120675.63999999998</v>
      </c>
      <c r="N11" s="317"/>
      <c r="O11" s="317"/>
    </row>
    <row r="12" spans="2:14" ht="18">
      <c r="B12" s="284" t="s">
        <v>613</v>
      </c>
      <c r="C12" s="293" t="s">
        <v>579</v>
      </c>
      <c r="D12" s="269" t="s">
        <v>525</v>
      </c>
      <c r="E12" s="268" t="e">
        <f>F12-черн!Z11</f>
        <v>#REF!</v>
      </c>
      <c r="F12" s="268" t="e">
        <f>F13</f>
        <v>#REF!</v>
      </c>
      <c r="J12" s="316">
        <f>J13</f>
        <v>79974.80000000002</v>
      </c>
      <c r="K12" s="337">
        <f>K13</f>
        <v>1975.5400000000002</v>
      </c>
      <c r="L12" s="316">
        <f>L13</f>
        <v>79974.80000000002</v>
      </c>
      <c r="M12" s="342">
        <f>M13</f>
        <v>81799.81</v>
      </c>
      <c r="N12" s="307"/>
    </row>
    <row r="13" spans="2:14" ht="18">
      <c r="B13" s="284" t="s">
        <v>613</v>
      </c>
      <c r="C13" s="294" t="s">
        <v>614</v>
      </c>
      <c r="D13" s="267" t="s">
        <v>527</v>
      </c>
      <c r="E13" s="268" t="e">
        <f>F13-черн!Z14</f>
        <v>#REF!</v>
      </c>
      <c r="F13" s="268" t="e">
        <f>F14+F15+F16+#REF!</f>
        <v>#REF!</v>
      </c>
      <c r="J13" s="316">
        <f>J14+J15+J16+J17</f>
        <v>79974.80000000002</v>
      </c>
      <c r="K13" s="337">
        <f>K14+K15+K16+K17</f>
        <v>1975.5400000000002</v>
      </c>
      <c r="L13" s="316">
        <f>L14+L15+L16+L17</f>
        <v>79974.80000000002</v>
      </c>
      <c r="M13" s="342">
        <f>M14+M15+M16+M17</f>
        <v>81799.81</v>
      </c>
      <c r="N13" s="307"/>
    </row>
    <row r="14" spans="2:14" ht="162">
      <c r="B14" s="284" t="s">
        <v>613</v>
      </c>
      <c r="C14" s="294" t="s">
        <v>580</v>
      </c>
      <c r="D14" s="270" t="s">
        <v>754</v>
      </c>
      <c r="E14" s="268" t="e">
        <f>F14-черн!Z15</f>
        <v>#REF!</v>
      </c>
      <c r="F14" s="271" t="e">
        <f>43625-F15-F16-#REF!</f>
        <v>#REF!</v>
      </c>
      <c r="J14" s="316">
        <v>78140.24</v>
      </c>
      <c r="K14" s="337">
        <v>1043.2</v>
      </c>
      <c r="L14" s="316">
        <v>78140.24</v>
      </c>
      <c r="M14" s="342">
        <v>80897.59</v>
      </c>
      <c r="N14" s="307" t="s">
        <v>388</v>
      </c>
    </row>
    <row r="15" spans="2:14" ht="162">
      <c r="B15" s="284" t="s">
        <v>613</v>
      </c>
      <c r="C15" s="294" t="s">
        <v>581</v>
      </c>
      <c r="D15" s="272" t="s">
        <v>501</v>
      </c>
      <c r="E15" s="268">
        <f>F15-черн!Z16</f>
        <v>-50</v>
      </c>
      <c r="F15" s="271">
        <v>60</v>
      </c>
      <c r="J15" s="316">
        <f>620*104%</f>
        <v>644.8000000000001</v>
      </c>
      <c r="K15" s="337">
        <f aca="true" t="shared" si="0" ref="K15:K75">J15-M15</f>
        <v>620.7</v>
      </c>
      <c r="L15" s="316">
        <f>620*104%</f>
        <v>644.8000000000001</v>
      </c>
      <c r="M15" s="342">
        <v>24.1</v>
      </c>
      <c r="N15" s="307" t="s">
        <v>388</v>
      </c>
    </row>
    <row r="16" spans="2:14" ht="72">
      <c r="B16" s="284" t="s">
        <v>613</v>
      </c>
      <c r="C16" s="295" t="s">
        <v>582</v>
      </c>
      <c r="D16" s="273" t="s">
        <v>502</v>
      </c>
      <c r="E16" s="268">
        <f>F16-черн!Z17</f>
        <v>110</v>
      </c>
      <c r="F16" s="271">
        <v>110</v>
      </c>
      <c r="J16" s="316">
        <f>1140*104%</f>
        <v>1185.6000000000001</v>
      </c>
      <c r="K16" s="337">
        <f t="shared" si="0"/>
        <v>314.10000000000014</v>
      </c>
      <c r="L16" s="316">
        <f>1140*104%</f>
        <v>1185.6000000000001</v>
      </c>
      <c r="M16" s="342">
        <v>871.5</v>
      </c>
      <c r="N16" s="307"/>
    </row>
    <row r="17" spans="2:14" ht="126">
      <c r="B17" s="284" t="s">
        <v>613</v>
      </c>
      <c r="C17" s="295" t="s">
        <v>732</v>
      </c>
      <c r="D17" s="308" t="s">
        <v>731</v>
      </c>
      <c r="E17" s="268"/>
      <c r="F17" s="271"/>
      <c r="J17" s="316">
        <f>4*104%</f>
        <v>4.16</v>
      </c>
      <c r="K17" s="337">
        <f t="shared" si="0"/>
        <v>-2.46</v>
      </c>
      <c r="L17" s="316">
        <f>4*104%</f>
        <v>4.16</v>
      </c>
      <c r="M17" s="342">
        <v>6.62</v>
      </c>
      <c r="N17" s="307"/>
    </row>
    <row r="18" spans="2:14" ht="52.5">
      <c r="B18" s="286" t="s">
        <v>613</v>
      </c>
      <c r="C18" s="263" t="s">
        <v>576</v>
      </c>
      <c r="D18" s="269" t="s">
        <v>575</v>
      </c>
      <c r="E18" s="274" t="e">
        <f>F18</f>
        <v>#REF!</v>
      </c>
      <c r="F18" s="274" t="e">
        <f>F19</f>
        <v>#REF!</v>
      </c>
      <c r="G18" s="266"/>
      <c r="H18" s="266"/>
      <c r="I18" s="266"/>
      <c r="J18" s="316">
        <f>J19</f>
        <v>11911.196</v>
      </c>
      <c r="K18" s="337">
        <f t="shared" si="0"/>
        <v>1649.0859999999993</v>
      </c>
      <c r="L18" s="329">
        <f>L19</f>
        <v>12404.7</v>
      </c>
      <c r="M18" s="342">
        <f>M19</f>
        <v>10262.11</v>
      </c>
      <c r="N18" s="307"/>
    </row>
    <row r="19" spans="2:14" ht="54">
      <c r="B19" s="288" t="s">
        <v>613</v>
      </c>
      <c r="C19" s="296" t="s">
        <v>573</v>
      </c>
      <c r="D19" s="267" t="s">
        <v>574</v>
      </c>
      <c r="E19" s="274" t="e">
        <f>F19</f>
        <v>#REF!</v>
      </c>
      <c r="F19" s="271" t="e">
        <f>F20+F22+F24+#REF!</f>
        <v>#REF!</v>
      </c>
      <c r="J19" s="316">
        <f>J20+J22+J24</f>
        <v>11911.196</v>
      </c>
      <c r="K19" s="337">
        <f t="shared" si="0"/>
        <v>1649.0859999999993</v>
      </c>
      <c r="L19" s="329">
        <f>L20+L22+L24</f>
        <v>12404.7</v>
      </c>
      <c r="M19" s="342">
        <f>M20+M22+M24</f>
        <v>10262.11</v>
      </c>
      <c r="N19" s="307"/>
    </row>
    <row r="20" spans="2:14" ht="54">
      <c r="B20" s="284" t="s">
        <v>613</v>
      </c>
      <c r="C20" s="275" t="s">
        <v>567</v>
      </c>
      <c r="D20" s="267" t="s">
        <v>568</v>
      </c>
      <c r="E20" s="274">
        <f>F20</f>
        <v>1306</v>
      </c>
      <c r="F20" s="271">
        <v>1306</v>
      </c>
      <c r="J20" s="316">
        <v>5904</v>
      </c>
      <c r="K20" s="337">
        <f t="shared" si="0"/>
        <v>1329.9399999999996</v>
      </c>
      <c r="L20" s="329">
        <f>L21</f>
        <v>6140.4</v>
      </c>
      <c r="M20" s="342">
        <v>4574.06</v>
      </c>
      <c r="N20" s="307"/>
    </row>
    <row r="21" spans="2:14" ht="162">
      <c r="B21" s="284" t="s">
        <v>613</v>
      </c>
      <c r="C21" s="275" t="s">
        <v>737</v>
      </c>
      <c r="D21" s="272" t="s">
        <v>736</v>
      </c>
      <c r="E21" s="274"/>
      <c r="F21" s="271"/>
      <c r="J21" s="316">
        <v>5904</v>
      </c>
      <c r="K21" s="337">
        <f t="shared" si="0"/>
        <v>1329.9399999999996</v>
      </c>
      <c r="L21" s="329">
        <v>6140.4</v>
      </c>
      <c r="M21" s="342">
        <v>4574.06</v>
      </c>
      <c r="N21" s="307"/>
    </row>
    <row r="22" spans="2:18" ht="72">
      <c r="B22" s="284" t="s">
        <v>613</v>
      </c>
      <c r="C22" s="275" t="s">
        <v>569</v>
      </c>
      <c r="D22" s="267" t="s">
        <v>570</v>
      </c>
      <c r="E22" s="274">
        <f>F22</f>
        <v>53.8</v>
      </c>
      <c r="F22" s="271">
        <v>53.8</v>
      </c>
      <c r="J22" s="316">
        <f>'приложение 3'!K21*104%</f>
        <v>67.60000000000001</v>
      </c>
      <c r="K22" s="337">
        <f t="shared" si="0"/>
        <v>1.5500000000000114</v>
      </c>
      <c r="L22" s="329">
        <v>70.49</v>
      </c>
      <c r="M22" s="342">
        <v>66.05</v>
      </c>
      <c r="N22" s="307"/>
      <c r="R22" s="56" t="s">
        <v>388</v>
      </c>
    </row>
    <row r="23" spans="2:14" ht="180">
      <c r="B23" s="284" t="s">
        <v>613</v>
      </c>
      <c r="C23" s="275" t="s">
        <v>735</v>
      </c>
      <c r="D23" s="267" t="s">
        <v>734</v>
      </c>
      <c r="E23" s="274"/>
      <c r="F23" s="271"/>
      <c r="J23" s="316">
        <f>'приложение 3'!K22*104%</f>
        <v>67.60000000000001</v>
      </c>
      <c r="K23" s="337">
        <f t="shared" si="0"/>
        <v>1.5500000000000114</v>
      </c>
      <c r="L23" s="329">
        <v>70.49</v>
      </c>
      <c r="M23" s="342">
        <v>66.05</v>
      </c>
      <c r="N23" s="307"/>
    </row>
    <row r="24" spans="2:14" ht="72">
      <c r="B24" s="284" t="s">
        <v>613</v>
      </c>
      <c r="C24" s="275" t="s">
        <v>571</v>
      </c>
      <c r="D24" s="267" t="s">
        <v>572</v>
      </c>
      <c r="E24" s="274">
        <f>F24</f>
        <v>2062</v>
      </c>
      <c r="F24" s="271">
        <v>2062</v>
      </c>
      <c r="J24" s="316">
        <f>'приложение 3'!K23*104%</f>
        <v>5939.596</v>
      </c>
      <c r="K24" s="337">
        <f t="shared" si="0"/>
        <v>317.59599999999955</v>
      </c>
      <c r="L24" s="329">
        <f>L25</f>
        <v>6193.81</v>
      </c>
      <c r="M24" s="342">
        <v>5622</v>
      </c>
      <c r="N24" s="307"/>
    </row>
    <row r="25" spans="2:14" ht="162">
      <c r="B25" s="284" t="s">
        <v>613</v>
      </c>
      <c r="C25" s="275" t="s">
        <v>750</v>
      </c>
      <c r="D25" s="272" t="s">
        <v>733</v>
      </c>
      <c r="E25" s="274"/>
      <c r="F25" s="271"/>
      <c r="J25" s="316">
        <f>'приложение 3'!K24*104%</f>
        <v>5939.596</v>
      </c>
      <c r="K25" s="337">
        <f t="shared" si="0"/>
        <v>317.59599999999955</v>
      </c>
      <c r="L25" s="329">
        <v>6193.81</v>
      </c>
      <c r="M25" s="342">
        <v>5622</v>
      </c>
      <c r="N25" s="307"/>
    </row>
    <row r="26" spans="2:14" ht="18">
      <c r="B26" s="284" t="s">
        <v>613</v>
      </c>
      <c r="C26" s="293" t="s">
        <v>583</v>
      </c>
      <c r="D26" s="269" t="s">
        <v>528</v>
      </c>
      <c r="E26" s="271" t="e">
        <f>F26-черн!Z20</f>
        <v>#REF!</v>
      </c>
      <c r="F26" s="271" t="e">
        <f>F27+F32+F34</f>
        <v>#REF!</v>
      </c>
      <c r="J26" s="316">
        <f>J27+J34+J36</f>
        <v>15369.459999999997</v>
      </c>
      <c r="K26" s="337">
        <f t="shared" si="0"/>
        <v>1591.9199999999983</v>
      </c>
      <c r="L26" s="329">
        <f>L27+L34+L36</f>
        <v>15522.419999999998</v>
      </c>
      <c r="M26" s="342">
        <f>M27+M34+M36</f>
        <v>13777.539999999999</v>
      </c>
      <c r="N26" s="307"/>
    </row>
    <row r="27" spans="2:14" ht="35.25">
      <c r="B27" s="284" t="s">
        <v>613</v>
      </c>
      <c r="C27" s="293" t="s">
        <v>584</v>
      </c>
      <c r="D27" s="269" t="s">
        <v>529</v>
      </c>
      <c r="E27" s="271" t="e">
        <f>F27-черн!Z21</f>
        <v>#REF!</v>
      </c>
      <c r="F27" s="271" t="e">
        <f>F28+F30+#REF!</f>
        <v>#REF!</v>
      </c>
      <c r="J27" s="316">
        <f>J28+J30</f>
        <v>13172.599999999999</v>
      </c>
      <c r="K27" s="337">
        <f t="shared" si="0"/>
        <v>1633.199999999999</v>
      </c>
      <c r="L27" s="316">
        <f>L28+L30</f>
        <v>13172.599999999999</v>
      </c>
      <c r="M27" s="342">
        <f>M28+M30</f>
        <v>11539.4</v>
      </c>
      <c r="N27" s="307"/>
    </row>
    <row r="28" spans="2:14" ht="54">
      <c r="B28" s="284" t="s">
        <v>613</v>
      </c>
      <c r="C28" s="294" t="s">
        <v>585</v>
      </c>
      <c r="D28" s="267" t="s">
        <v>530</v>
      </c>
      <c r="E28" s="271" t="e">
        <f>F28-черн!Z22</f>
        <v>#REF!</v>
      </c>
      <c r="F28" s="271">
        <v>850</v>
      </c>
      <c r="J28" s="316">
        <v>9352.55</v>
      </c>
      <c r="K28" s="337">
        <f t="shared" si="0"/>
        <v>1404.0499999999993</v>
      </c>
      <c r="L28" s="316">
        <v>9352.55</v>
      </c>
      <c r="M28" s="342">
        <v>7948.5</v>
      </c>
      <c r="N28" s="307"/>
    </row>
    <row r="29" spans="2:14" ht="54">
      <c r="B29" s="284" t="s">
        <v>613</v>
      </c>
      <c r="C29" s="297" t="s">
        <v>586</v>
      </c>
      <c r="D29" s="267" t="s">
        <v>86</v>
      </c>
      <c r="E29" s="271" t="e">
        <f>F29-черн!Z23</f>
        <v>#REF!</v>
      </c>
      <c r="F29" s="271">
        <v>850</v>
      </c>
      <c r="J29" s="316">
        <v>9352.55</v>
      </c>
      <c r="K29" s="337">
        <f t="shared" si="0"/>
        <v>1404.0499999999993</v>
      </c>
      <c r="L29" s="316">
        <v>9352.55</v>
      </c>
      <c r="M29" s="342">
        <v>7948.5</v>
      </c>
      <c r="N29" s="307"/>
    </row>
    <row r="30" spans="2:14" ht="54">
      <c r="B30" s="286" t="s">
        <v>613</v>
      </c>
      <c r="C30" s="294" t="s">
        <v>587</v>
      </c>
      <c r="D30" s="267" t="s">
        <v>0</v>
      </c>
      <c r="E30" s="271" t="e">
        <f>F30-черн!Z25</f>
        <v>#REF!</v>
      </c>
      <c r="F30" s="271">
        <v>1660</v>
      </c>
      <c r="J30" s="316">
        <v>3820.05</v>
      </c>
      <c r="K30" s="337">
        <f t="shared" si="0"/>
        <v>229.1500000000001</v>
      </c>
      <c r="L30" s="316">
        <v>3820.05</v>
      </c>
      <c r="M30" s="342">
        <f>M31</f>
        <v>3590.9</v>
      </c>
      <c r="N30" s="307"/>
    </row>
    <row r="31" spans="2:14" ht="51" customHeight="1">
      <c r="B31" s="288" t="s">
        <v>613</v>
      </c>
      <c r="C31" s="296" t="s">
        <v>588</v>
      </c>
      <c r="D31" s="276" t="s">
        <v>0</v>
      </c>
      <c r="E31" s="271" t="e">
        <f>F31-черн!Z26</f>
        <v>#REF!</v>
      </c>
      <c r="F31" s="271">
        <v>1650</v>
      </c>
      <c r="J31" s="316">
        <v>3820.05</v>
      </c>
      <c r="K31" s="337">
        <f t="shared" si="0"/>
        <v>229.1500000000001</v>
      </c>
      <c r="L31" s="316">
        <v>3820.05</v>
      </c>
      <c r="M31" s="342">
        <v>3590.9</v>
      </c>
      <c r="N31" s="307"/>
    </row>
    <row r="32" spans="2:14" ht="18" hidden="1">
      <c r="B32" s="288"/>
      <c r="C32" s="293"/>
      <c r="D32" s="269"/>
      <c r="E32" s="271"/>
      <c r="F32" s="274"/>
      <c r="J32" s="316"/>
      <c r="K32" s="337">
        <f t="shared" si="0"/>
        <v>0</v>
      </c>
      <c r="L32" s="329"/>
      <c r="M32" s="342"/>
      <c r="N32" s="307"/>
    </row>
    <row r="33" spans="2:14" ht="18" hidden="1">
      <c r="B33" s="288"/>
      <c r="C33" s="294"/>
      <c r="D33" s="267"/>
      <c r="E33" s="271"/>
      <c r="F33" s="271"/>
      <c r="J33" s="316"/>
      <c r="K33" s="337">
        <f t="shared" si="0"/>
        <v>0</v>
      </c>
      <c r="L33" s="329"/>
      <c r="M33" s="342"/>
      <c r="N33" s="307"/>
    </row>
    <row r="34" spans="2:15" ht="18">
      <c r="B34" s="284" t="s">
        <v>613</v>
      </c>
      <c r="C34" s="293" t="s">
        <v>589</v>
      </c>
      <c r="D34" s="269" t="s">
        <v>2</v>
      </c>
      <c r="E34" s="271">
        <f>F34-черн!Z32</f>
        <v>92</v>
      </c>
      <c r="F34" s="274">
        <f>F35+F37</f>
        <v>106</v>
      </c>
      <c r="J34" s="316">
        <v>0.8</v>
      </c>
      <c r="K34" s="337">
        <f t="shared" si="0"/>
        <v>-0.3699999999999999</v>
      </c>
      <c r="L34" s="329">
        <v>1</v>
      </c>
      <c r="M34" s="342">
        <v>1.17</v>
      </c>
      <c r="N34" s="307"/>
      <c r="O34" s="56" t="s">
        <v>388</v>
      </c>
    </row>
    <row r="35" spans="2:14" ht="18">
      <c r="B35" s="284" t="s">
        <v>613</v>
      </c>
      <c r="C35" s="297" t="s">
        <v>590</v>
      </c>
      <c r="D35" s="276" t="s">
        <v>2</v>
      </c>
      <c r="E35" s="271">
        <f>F35-черн!Z33</f>
        <v>106</v>
      </c>
      <c r="F35" s="271">
        <v>106</v>
      </c>
      <c r="J35" s="316">
        <v>0.8</v>
      </c>
      <c r="K35" s="337">
        <f t="shared" si="0"/>
        <v>-0.3699999999999999</v>
      </c>
      <c r="L35" s="329">
        <v>1</v>
      </c>
      <c r="M35" s="342">
        <v>1.17</v>
      </c>
      <c r="N35" s="307"/>
    </row>
    <row r="36" spans="2:14" ht="34.5">
      <c r="B36" s="284" t="s">
        <v>613</v>
      </c>
      <c r="C36" s="291" t="s">
        <v>622</v>
      </c>
      <c r="D36" s="290" t="s">
        <v>620</v>
      </c>
      <c r="E36" s="271"/>
      <c r="F36" s="271"/>
      <c r="J36" s="316">
        <f>J37</f>
        <v>2196.06</v>
      </c>
      <c r="K36" s="337">
        <f t="shared" si="0"/>
        <v>-40.909999999999854</v>
      </c>
      <c r="L36" s="329">
        <v>2348.82</v>
      </c>
      <c r="M36" s="342">
        <f>M37</f>
        <v>2236.97</v>
      </c>
      <c r="N36" s="307"/>
    </row>
    <row r="37" spans="2:14" ht="54">
      <c r="B37" s="284" t="s">
        <v>613</v>
      </c>
      <c r="C37" s="297" t="s">
        <v>623</v>
      </c>
      <c r="D37" s="276" t="s">
        <v>621</v>
      </c>
      <c r="E37" s="271">
        <f>F37-черн!Z34</f>
        <v>-2282.2</v>
      </c>
      <c r="F37" s="271"/>
      <c r="J37" s="316">
        <v>2196.06</v>
      </c>
      <c r="K37" s="337">
        <f t="shared" si="0"/>
        <v>-40.909999999999854</v>
      </c>
      <c r="L37" s="329">
        <v>2283.91</v>
      </c>
      <c r="M37" s="342">
        <v>2236.97</v>
      </c>
      <c r="N37" s="307"/>
    </row>
    <row r="38" spans="2:14" ht="18">
      <c r="B38" s="284" t="s">
        <v>613</v>
      </c>
      <c r="C38" s="293" t="s">
        <v>591</v>
      </c>
      <c r="D38" s="269" t="s">
        <v>3</v>
      </c>
      <c r="E38" s="271">
        <f>F38-черн!Z35</f>
        <v>0</v>
      </c>
      <c r="F38" s="274">
        <v>2282.2</v>
      </c>
      <c r="J38" s="316">
        <f>J39</f>
        <v>7980.42</v>
      </c>
      <c r="K38" s="337">
        <f t="shared" si="0"/>
        <v>-1652.9099999999999</v>
      </c>
      <c r="L38" s="329">
        <f>L39</f>
        <v>8419.34</v>
      </c>
      <c r="M38" s="342">
        <v>9633.33</v>
      </c>
      <c r="N38" s="307"/>
    </row>
    <row r="39" spans="2:14" ht="18">
      <c r="B39" s="284" t="s">
        <v>613</v>
      </c>
      <c r="C39" s="293" t="s">
        <v>592</v>
      </c>
      <c r="D39" s="269" t="s">
        <v>4</v>
      </c>
      <c r="E39" s="271">
        <f>F39-черн!Z36</f>
        <v>0</v>
      </c>
      <c r="F39" s="274">
        <v>2282.2</v>
      </c>
      <c r="J39" s="316">
        <f>J40</f>
        <v>7980.42</v>
      </c>
      <c r="K39" s="337">
        <f t="shared" si="0"/>
        <v>-1652.9099999999999</v>
      </c>
      <c r="L39" s="329">
        <f>L40</f>
        <v>8419.34</v>
      </c>
      <c r="M39" s="342">
        <v>9633.33</v>
      </c>
      <c r="N39" s="307"/>
    </row>
    <row r="40" spans="2:14" ht="36">
      <c r="B40" s="284" t="s">
        <v>613</v>
      </c>
      <c r="C40" s="294" t="s">
        <v>593</v>
      </c>
      <c r="D40" s="267" t="s">
        <v>5</v>
      </c>
      <c r="E40" s="271">
        <f>F40-черн!Z37</f>
        <v>2282.2</v>
      </c>
      <c r="F40" s="271">
        <v>2282.2</v>
      </c>
      <c r="J40" s="316">
        <v>7980.42</v>
      </c>
      <c r="K40" s="337">
        <f t="shared" si="0"/>
        <v>-1652.9099999999999</v>
      </c>
      <c r="L40" s="329">
        <v>8419.34</v>
      </c>
      <c r="M40" s="342">
        <v>9633.33</v>
      </c>
      <c r="N40" s="307"/>
    </row>
    <row r="41" spans="2:14" ht="36">
      <c r="B41" s="284" t="s">
        <v>613</v>
      </c>
      <c r="C41" s="293" t="s">
        <v>757</v>
      </c>
      <c r="D41" s="267" t="s">
        <v>6</v>
      </c>
      <c r="E41" s="271"/>
      <c r="F41" s="271"/>
      <c r="J41" s="316">
        <f>J42</f>
        <v>3.5</v>
      </c>
      <c r="K41" s="337">
        <v>3.5</v>
      </c>
      <c r="L41" s="329">
        <f>L42</f>
        <v>3.8</v>
      </c>
      <c r="M41" s="342"/>
      <c r="N41" s="307"/>
    </row>
    <row r="42" spans="2:14" ht="18">
      <c r="B42" s="284" t="s">
        <v>613</v>
      </c>
      <c r="C42" s="293" t="s">
        <v>758</v>
      </c>
      <c r="D42" s="267" t="s">
        <v>371</v>
      </c>
      <c r="E42" s="271"/>
      <c r="F42" s="271"/>
      <c r="J42" s="316">
        <f>J43</f>
        <v>3.5</v>
      </c>
      <c r="K42" s="337">
        <v>3.5</v>
      </c>
      <c r="L42" s="329">
        <f>L43</f>
        <v>3.8</v>
      </c>
      <c r="M42" s="342"/>
      <c r="N42" s="307"/>
    </row>
    <row r="43" spans="2:14" ht="36">
      <c r="B43" s="284" t="s">
        <v>613</v>
      </c>
      <c r="C43" s="294" t="s">
        <v>759</v>
      </c>
      <c r="D43" s="267" t="s">
        <v>376</v>
      </c>
      <c r="E43" s="271"/>
      <c r="F43" s="271"/>
      <c r="J43" s="316">
        <v>3.5</v>
      </c>
      <c r="K43" s="337">
        <v>3.5</v>
      </c>
      <c r="L43" s="329">
        <v>3.8</v>
      </c>
      <c r="M43" s="342"/>
      <c r="N43" s="307"/>
    </row>
    <row r="44" spans="2:14" ht="18">
      <c r="B44" s="284" t="s">
        <v>612</v>
      </c>
      <c r="C44" s="293" t="s">
        <v>594</v>
      </c>
      <c r="D44" s="269" t="s">
        <v>377</v>
      </c>
      <c r="E44" s="271" t="e">
        <f>F44-черн!Z44</f>
        <v>#REF!</v>
      </c>
      <c r="F44" s="271" t="e">
        <f>F45+F47</f>
        <v>#REF!</v>
      </c>
      <c r="J44" s="316">
        <f>J45+J47</f>
        <v>2695.1</v>
      </c>
      <c r="K44" s="337">
        <f t="shared" si="0"/>
        <v>517.2999999999997</v>
      </c>
      <c r="L44" s="329">
        <f>L45+L47</f>
        <v>2812.58</v>
      </c>
      <c r="M44" s="342">
        <f>M45+M47</f>
        <v>2177.8</v>
      </c>
      <c r="N44" s="307"/>
    </row>
    <row r="45" spans="2:14" ht="54">
      <c r="B45" s="284" t="s">
        <v>613</v>
      </c>
      <c r="C45" s="294" t="s">
        <v>595</v>
      </c>
      <c r="D45" s="267" t="s">
        <v>378</v>
      </c>
      <c r="E45" s="271" t="e">
        <f>F45-черн!Z45</f>
        <v>#REF!</v>
      </c>
      <c r="F45" s="271">
        <v>1540</v>
      </c>
      <c r="J45" s="316">
        <f>J46</f>
        <v>2626.6</v>
      </c>
      <c r="K45" s="337">
        <f t="shared" si="0"/>
        <v>517.2999999999997</v>
      </c>
      <c r="L45" s="329">
        <f>L46</f>
        <v>2812.58</v>
      </c>
      <c r="M45" s="342">
        <v>2109.3</v>
      </c>
      <c r="N45" s="307"/>
    </row>
    <row r="46" spans="2:14" ht="72">
      <c r="B46" s="284" t="s">
        <v>613</v>
      </c>
      <c r="C46" s="294" t="s">
        <v>596</v>
      </c>
      <c r="D46" s="267" t="s">
        <v>379</v>
      </c>
      <c r="E46" s="271" t="e">
        <f>F46-черн!Z46</f>
        <v>#REF!</v>
      </c>
      <c r="F46" s="271">
        <v>1540</v>
      </c>
      <c r="J46" s="316">
        <v>2626.6</v>
      </c>
      <c r="K46" s="337">
        <f t="shared" si="0"/>
        <v>517.2999999999997</v>
      </c>
      <c r="L46" s="329">
        <v>2812.58</v>
      </c>
      <c r="M46" s="342">
        <v>2109.3</v>
      </c>
      <c r="N46" s="307"/>
    </row>
    <row r="47" spans="2:14" ht="54">
      <c r="B47" s="284" t="s">
        <v>566</v>
      </c>
      <c r="C47" s="294" t="s">
        <v>597</v>
      </c>
      <c r="D47" s="267" t="s">
        <v>380</v>
      </c>
      <c r="E47" s="271" t="e">
        <f>F47-черн!Z47</f>
        <v>#REF!</v>
      </c>
      <c r="F47" s="271" t="e">
        <f>F48+#REF!</f>
        <v>#REF!</v>
      </c>
      <c r="J47" s="316">
        <v>68.5</v>
      </c>
      <c r="K47" s="337">
        <f t="shared" si="0"/>
        <v>0</v>
      </c>
      <c r="L47" s="329">
        <v>0</v>
      </c>
      <c r="M47" s="342">
        <v>68.5</v>
      </c>
      <c r="N47" s="307"/>
    </row>
    <row r="48" spans="2:14" ht="90">
      <c r="B48" s="284" t="s">
        <v>566</v>
      </c>
      <c r="C48" s="298" t="s">
        <v>598</v>
      </c>
      <c r="D48" s="267" t="s">
        <v>109</v>
      </c>
      <c r="E48" s="271" t="e">
        <f>F48-черн!Z48</f>
        <v>#REF!</v>
      </c>
      <c r="F48" s="271">
        <f>F49</f>
        <v>230</v>
      </c>
      <c r="J48" s="316">
        <v>68.5</v>
      </c>
      <c r="K48" s="337">
        <f t="shared" si="0"/>
        <v>0</v>
      </c>
      <c r="L48" s="329">
        <v>0</v>
      </c>
      <c r="M48" s="342">
        <v>68.5</v>
      </c>
      <c r="N48" s="307"/>
    </row>
    <row r="49" spans="2:14" ht="108">
      <c r="B49" s="284" t="s">
        <v>566</v>
      </c>
      <c r="C49" s="298" t="s">
        <v>599</v>
      </c>
      <c r="D49" s="267" t="s">
        <v>108</v>
      </c>
      <c r="E49" s="271" t="e">
        <f>F49-черн!Z49</f>
        <v>#REF!</v>
      </c>
      <c r="F49" s="271">
        <v>230</v>
      </c>
      <c r="J49" s="316">
        <v>68.5</v>
      </c>
      <c r="K49" s="337">
        <f t="shared" si="0"/>
        <v>0</v>
      </c>
      <c r="L49" s="329">
        <v>0</v>
      </c>
      <c r="M49" s="342">
        <v>68.5</v>
      </c>
      <c r="N49" s="307"/>
    </row>
    <row r="50" spans="2:14" ht="78" customHeight="1">
      <c r="B50" s="284" t="s">
        <v>566</v>
      </c>
      <c r="C50" s="293" t="s">
        <v>600</v>
      </c>
      <c r="D50" s="269" t="s">
        <v>382</v>
      </c>
      <c r="E50" s="271" t="e">
        <f>F50-черн!Z59</f>
        <v>#REF!</v>
      </c>
      <c r="F50" s="271">
        <f>F51</f>
        <v>1533</v>
      </c>
      <c r="J50" s="316">
        <f>J51</f>
        <v>1632.99</v>
      </c>
      <c r="K50" s="337">
        <f t="shared" si="0"/>
        <v>142.1199999999999</v>
      </c>
      <c r="L50" s="316">
        <f>L51</f>
        <v>1698.31</v>
      </c>
      <c r="M50" s="342">
        <f>M51</f>
        <v>1490.8700000000001</v>
      </c>
      <c r="N50" s="307"/>
    </row>
    <row r="51" spans="2:14" ht="122.25">
      <c r="B51" s="284" t="s">
        <v>566</v>
      </c>
      <c r="C51" s="293" t="s">
        <v>601</v>
      </c>
      <c r="D51" s="269" t="s">
        <v>96</v>
      </c>
      <c r="E51" s="271" t="e">
        <f>F51-черн!Z60</f>
        <v>#REF!</v>
      </c>
      <c r="F51" s="271">
        <f>F52+F54</f>
        <v>1533</v>
      </c>
      <c r="G51" s="56" t="s">
        <v>388</v>
      </c>
      <c r="J51" s="316">
        <f>J52+J54+J56</f>
        <v>1632.99</v>
      </c>
      <c r="K51" s="337">
        <f t="shared" si="0"/>
        <v>142.1199999999999</v>
      </c>
      <c r="L51" s="316">
        <f>L52+L54+L56</f>
        <v>1698.31</v>
      </c>
      <c r="M51" s="342">
        <f>M52+M54</f>
        <v>1490.8700000000001</v>
      </c>
      <c r="N51" s="307"/>
    </row>
    <row r="52" spans="2:14" ht="117" customHeight="1">
      <c r="B52" s="284" t="s">
        <v>566</v>
      </c>
      <c r="C52" s="293" t="s">
        <v>602</v>
      </c>
      <c r="D52" s="269" t="s">
        <v>383</v>
      </c>
      <c r="E52" s="271" t="e">
        <f>F52-черн!Z61</f>
        <v>#REF!</v>
      </c>
      <c r="F52" s="271">
        <v>1378</v>
      </c>
      <c r="J52" s="316">
        <f>J53</f>
        <v>1501.01</v>
      </c>
      <c r="K52" s="337">
        <f t="shared" si="0"/>
        <v>50.11999999999989</v>
      </c>
      <c r="L52" s="316">
        <f>L53</f>
        <v>1566.33</v>
      </c>
      <c r="M52" s="342">
        <v>1450.89</v>
      </c>
      <c r="N52" s="307"/>
    </row>
    <row r="53" spans="2:14" ht="108">
      <c r="B53" s="284" t="s">
        <v>566</v>
      </c>
      <c r="C53" s="152" t="s">
        <v>644</v>
      </c>
      <c r="D53" s="267" t="s">
        <v>166</v>
      </c>
      <c r="E53" s="271" t="e">
        <f>F53-черн!Z62</f>
        <v>#REF!</v>
      </c>
      <c r="F53" s="271">
        <v>1378</v>
      </c>
      <c r="J53" s="316">
        <v>1501.01</v>
      </c>
      <c r="K53" s="337">
        <f t="shared" si="0"/>
        <v>50.11999999999989</v>
      </c>
      <c r="L53" s="316">
        <v>1566.33</v>
      </c>
      <c r="M53" s="342">
        <v>1450.89</v>
      </c>
      <c r="N53" s="307"/>
    </row>
    <row r="54" spans="2:14" ht="102.75" customHeight="1">
      <c r="B54" s="284" t="s">
        <v>566</v>
      </c>
      <c r="C54" s="293" t="s">
        <v>604</v>
      </c>
      <c r="D54" s="269" t="s">
        <v>97</v>
      </c>
      <c r="E54" s="271" t="e">
        <f>F54-черн!Z65</f>
        <v>#REF!</v>
      </c>
      <c r="F54" s="271">
        <v>155</v>
      </c>
      <c r="J54" s="316">
        <v>39.98</v>
      </c>
      <c r="K54" s="337">
        <f t="shared" si="0"/>
        <v>0</v>
      </c>
      <c r="L54" s="316">
        <v>39.98</v>
      </c>
      <c r="M54" s="342">
        <v>39.98</v>
      </c>
      <c r="N54" s="307"/>
    </row>
    <row r="55" spans="2:14" ht="120" customHeight="1">
      <c r="B55" s="284" t="s">
        <v>566</v>
      </c>
      <c r="C55" s="294" t="s">
        <v>603</v>
      </c>
      <c r="D55" s="267" t="s">
        <v>98</v>
      </c>
      <c r="E55" s="271">
        <f>F55-черн!Z66</f>
        <v>-102.19999999999999</v>
      </c>
      <c r="F55" s="271">
        <v>155</v>
      </c>
      <c r="J55" s="316">
        <v>39.98</v>
      </c>
      <c r="K55" s="337">
        <f t="shared" si="0"/>
        <v>0</v>
      </c>
      <c r="L55" s="316">
        <v>39.98</v>
      </c>
      <c r="M55" s="342">
        <v>39.98</v>
      </c>
      <c r="N55" s="307"/>
    </row>
    <row r="56" spans="2:14" ht="146.25" customHeight="1">
      <c r="B56" s="284" t="s">
        <v>566</v>
      </c>
      <c r="C56" s="293" t="s">
        <v>765</v>
      </c>
      <c r="D56" s="326" t="s">
        <v>760</v>
      </c>
      <c r="E56" s="271"/>
      <c r="F56" s="271"/>
      <c r="J56" s="327">
        <f>J57+J59</f>
        <v>92</v>
      </c>
      <c r="K56" s="337">
        <f t="shared" si="0"/>
        <v>92</v>
      </c>
      <c r="L56" s="327">
        <f>L57+L59</f>
        <v>92</v>
      </c>
      <c r="M56" s="342"/>
      <c r="N56" s="307"/>
    </row>
    <row r="57" spans="2:14" ht="120" customHeight="1">
      <c r="B57" s="284" t="s">
        <v>566</v>
      </c>
      <c r="C57" s="294" t="s">
        <v>766</v>
      </c>
      <c r="D57" s="272" t="s">
        <v>761</v>
      </c>
      <c r="E57" s="271"/>
      <c r="F57" s="271"/>
      <c r="J57" s="316">
        <v>4</v>
      </c>
      <c r="K57" s="337">
        <f t="shared" si="0"/>
        <v>4</v>
      </c>
      <c r="L57" s="316">
        <v>4</v>
      </c>
      <c r="M57" s="342"/>
      <c r="N57" s="307"/>
    </row>
    <row r="58" spans="2:14" ht="120" customHeight="1">
      <c r="B58" s="284" t="s">
        <v>566</v>
      </c>
      <c r="C58" s="294" t="s">
        <v>767</v>
      </c>
      <c r="D58" s="267" t="s">
        <v>762</v>
      </c>
      <c r="E58" s="271"/>
      <c r="F58" s="271"/>
      <c r="J58" s="316">
        <v>4</v>
      </c>
      <c r="K58" s="337">
        <f t="shared" si="0"/>
        <v>4</v>
      </c>
      <c r="L58" s="316">
        <v>4</v>
      </c>
      <c r="M58" s="342"/>
      <c r="N58" s="307"/>
    </row>
    <row r="59" spans="2:14" ht="120" customHeight="1">
      <c r="B59" s="284" t="s">
        <v>566</v>
      </c>
      <c r="C59" s="294" t="s">
        <v>768</v>
      </c>
      <c r="D59" s="272" t="s">
        <v>763</v>
      </c>
      <c r="E59" s="271"/>
      <c r="F59" s="271"/>
      <c r="J59" s="316">
        <v>88</v>
      </c>
      <c r="K59" s="337">
        <f t="shared" si="0"/>
        <v>88</v>
      </c>
      <c r="L59" s="316">
        <v>88</v>
      </c>
      <c r="M59" s="342"/>
      <c r="N59" s="307"/>
    </row>
    <row r="60" spans="2:14" ht="146.25" customHeight="1">
      <c r="B60" s="284" t="s">
        <v>566</v>
      </c>
      <c r="C60" s="294" t="s">
        <v>769</v>
      </c>
      <c r="D60" s="272" t="s">
        <v>764</v>
      </c>
      <c r="E60" s="271"/>
      <c r="F60" s="271"/>
      <c r="J60" s="316">
        <v>88</v>
      </c>
      <c r="K60" s="337">
        <f t="shared" si="0"/>
        <v>88</v>
      </c>
      <c r="L60" s="316">
        <v>88</v>
      </c>
      <c r="M60" s="342"/>
      <c r="N60" s="307"/>
    </row>
    <row r="61" spans="2:14" ht="35.25">
      <c r="B61" s="284">
        <v>498</v>
      </c>
      <c r="C61" s="293" t="s">
        <v>605</v>
      </c>
      <c r="D61" s="269" t="s">
        <v>37</v>
      </c>
      <c r="E61" s="271" t="e">
        <f>F61-черн!Z67</f>
        <v>#REF!</v>
      </c>
      <c r="F61" s="271" t="e">
        <f>F62</f>
        <v>#REF!</v>
      </c>
      <c r="J61" s="316">
        <f>J62</f>
        <v>194.01999999999998</v>
      </c>
      <c r="K61" s="337">
        <f t="shared" si="0"/>
        <v>155.45999999999998</v>
      </c>
      <c r="L61" s="316">
        <f>L62</f>
        <v>201.78</v>
      </c>
      <c r="M61" s="342">
        <f>M62</f>
        <v>38.56</v>
      </c>
      <c r="N61" s="307"/>
    </row>
    <row r="62" spans="2:14" ht="36">
      <c r="B62" s="284">
        <v>498</v>
      </c>
      <c r="C62" s="294" t="s">
        <v>773</v>
      </c>
      <c r="D62" s="267" t="s">
        <v>38</v>
      </c>
      <c r="E62" s="271" t="e">
        <f>F62-черн!Y68</f>
        <v>#REF!</v>
      </c>
      <c r="F62" s="271" t="e">
        <f>F63+#REF!+#REF!+F64</f>
        <v>#REF!</v>
      </c>
      <c r="J62" s="316">
        <f>J63+J64</f>
        <v>194.01999999999998</v>
      </c>
      <c r="K62" s="337">
        <f t="shared" si="0"/>
        <v>155.45999999999998</v>
      </c>
      <c r="L62" s="316">
        <f>L63+L64</f>
        <v>201.78</v>
      </c>
      <c r="M62" s="342">
        <f>M63+M64</f>
        <v>38.56</v>
      </c>
      <c r="N62" s="307"/>
    </row>
    <row r="63" spans="2:14" ht="36">
      <c r="B63" s="284">
        <v>498</v>
      </c>
      <c r="C63" s="294" t="s">
        <v>774</v>
      </c>
      <c r="D63" s="267" t="s">
        <v>169</v>
      </c>
      <c r="E63" s="271" t="e">
        <f>F63-черн!Y69</f>
        <v>#REF!</v>
      </c>
      <c r="F63" s="271">
        <v>129</v>
      </c>
      <c r="J63" s="316">
        <v>20.91</v>
      </c>
      <c r="K63" s="337">
        <f t="shared" si="0"/>
        <v>4.830000000000002</v>
      </c>
      <c r="L63" s="316">
        <v>22.91</v>
      </c>
      <c r="M63" s="342">
        <v>16.08</v>
      </c>
      <c r="N63" s="307"/>
    </row>
    <row r="64" spans="2:14" ht="36">
      <c r="B64" s="284">
        <v>498</v>
      </c>
      <c r="C64" s="294" t="s">
        <v>775</v>
      </c>
      <c r="D64" s="289" t="s">
        <v>512</v>
      </c>
      <c r="E64" s="271" t="e">
        <f>F64-черн!Y72</f>
        <v>#REF!</v>
      </c>
      <c r="F64" s="271">
        <v>125</v>
      </c>
      <c r="J64" s="316">
        <f>J65+J66</f>
        <v>173.10999999999999</v>
      </c>
      <c r="K64" s="337">
        <f t="shared" si="0"/>
        <v>150.63</v>
      </c>
      <c r="L64" s="316">
        <f>L65+L66</f>
        <v>178.87</v>
      </c>
      <c r="M64" s="342">
        <v>22.48</v>
      </c>
      <c r="N64" s="307"/>
    </row>
    <row r="65" spans="2:14" ht="18">
      <c r="B65" s="284">
        <v>498</v>
      </c>
      <c r="C65" s="294" t="s">
        <v>776</v>
      </c>
      <c r="D65" s="289" t="s">
        <v>770</v>
      </c>
      <c r="E65" s="271"/>
      <c r="F65" s="271"/>
      <c r="J65" s="316">
        <v>171.04</v>
      </c>
      <c r="K65" s="337">
        <f t="shared" si="0"/>
        <v>171.04</v>
      </c>
      <c r="L65" s="316">
        <v>176.37</v>
      </c>
      <c r="M65" s="342"/>
      <c r="N65" s="307"/>
    </row>
    <row r="66" spans="2:14" ht="36">
      <c r="B66" s="284">
        <v>498</v>
      </c>
      <c r="C66" s="294" t="s">
        <v>777</v>
      </c>
      <c r="D66" s="289" t="s">
        <v>771</v>
      </c>
      <c r="E66" s="271"/>
      <c r="F66" s="271"/>
      <c r="J66" s="316">
        <v>2.07</v>
      </c>
      <c r="K66" s="337">
        <f t="shared" si="0"/>
        <v>2.07</v>
      </c>
      <c r="L66" s="316">
        <v>2.5</v>
      </c>
      <c r="M66" s="342"/>
      <c r="N66" s="307"/>
    </row>
    <row r="67" spans="2:14" ht="35.25">
      <c r="B67" s="284" t="s">
        <v>566</v>
      </c>
      <c r="C67" s="293" t="s">
        <v>606</v>
      </c>
      <c r="D67" s="269" t="s">
        <v>39</v>
      </c>
      <c r="E67" s="271" t="e">
        <f>F67-черн!Z73</f>
        <v>#REF!</v>
      </c>
      <c r="F67" s="271">
        <v>266</v>
      </c>
      <c r="J67" s="316">
        <v>73</v>
      </c>
      <c r="K67" s="337">
        <f t="shared" si="0"/>
        <v>-1.6200000000000045</v>
      </c>
      <c r="L67" s="329">
        <f>L68</f>
        <v>75</v>
      </c>
      <c r="M67" s="342">
        <v>74.62</v>
      </c>
      <c r="N67" s="307"/>
    </row>
    <row r="68" spans="2:14" ht="35.25">
      <c r="B68" s="284" t="s">
        <v>566</v>
      </c>
      <c r="C68" s="293" t="s">
        <v>607</v>
      </c>
      <c r="D68" s="269" t="s">
        <v>44</v>
      </c>
      <c r="E68" s="271" t="e">
        <f>F68-черн!Z77</f>
        <v>#REF!</v>
      </c>
      <c r="F68" s="271">
        <v>266</v>
      </c>
      <c r="J68" s="316">
        <v>73</v>
      </c>
      <c r="K68" s="337">
        <f t="shared" si="0"/>
        <v>-1.6200000000000045</v>
      </c>
      <c r="L68" s="329">
        <f>L69</f>
        <v>75</v>
      </c>
      <c r="M68" s="342">
        <v>74.62</v>
      </c>
      <c r="N68" s="307"/>
    </row>
    <row r="69" spans="2:14" ht="54">
      <c r="B69" s="284" t="s">
        <v>566</v>
      </c>
      <c r="C69" s="294" t="s">
        <v>608</v>
      </c>
      <c r="D69" s="267" t="s">
        <v>172</v>
      </c>
      <c r="E69" s="271">
        <f>F69-черн!Z78</f>
        <v>-3414</v>
      </c>
      <c r="F69" s="271">
        <v>266</v>
      </c>
      <c r="J69" s="316">
        <v>73</v>
      </c>
      <c r="K69" s="337">
        <f t="shared" si="0"/>
        <v>-1.6200000000000045</v>
      </c>
      <c r="L69" s="329">
        <v>75</v>
      </c>
      <c r="M69" s="342">
        <v>74.62</v>
      </c>
      <c r="N69" s="307"/>
    </row>
    <row r="70" spans="2:14" ht="35.25">
      <c r="B70" s="284" t="s">
        <v>566</v>
      </c>
      <c r="C70" s="293" t="s">
        <v>609</v>
      </c>
      <c r="D70" s="269" t="s">
        <v>47</v>
      </c>
      <c r="E70" s="271" t="e">
        <f>F70-черн!Z83</f>
        <v>#REF!</v>
      </c>
      <c r="F70" s="271" t="e">
        <f>#REF!+#REF!+#REF!+#REF!+#REF!</f>
        <v>#REF!</v>
      </c>
      <c r="J70" s="316">
        <f>J71+J86+J88</f>
        <v>1494.99</v>
      </c>
      <c r="K70" s="337">
        <f t="shared" si="0"/>
        <v>73.99000000000001</v>
      </c>
      <c r="L70" s="316">
        <f>L71+L86+L88</f>
        <v>1494.99</v>
      </c>
      <c r="M70" s="342">
        <f>M71+M86+M88</f>
        <v>1421</v>
      </c>
      <c r="N70" s="307"/>
    </row>
    <row r="71" spans="2:14" ht="54">
      <c r="B71" s="284" t="s">
        <v>612</v>
      </c>
      <c r="C71" s="294" t="s">
        <v>685</v>
      </c>
      <c r="D71" s="267" t="s">
        <v>683</v>
      </c>
      <c r="E71" s="271"/>
      <c r="F71" s="271"/>
      <c r="J71" s="316">
        <f>J72+J74+J76+J78+J80+J82+J84</f>
        <v>384.99</v>
      </c>
      <c r="K71" s="337">
        <f t="shared" si="0"/>
        <v>38.99000000000001</v>
      </c>
      <c r="L71" s="316">
        <f>L72+L74+L76+L78+L80+L82+L84</f>
        <v>384.99</v>
      </c>
      <c r="M71" s="342">
        <f>M72+M74+M76+M78+M80+M82+M84</f>
        <v>346</v>
      </c>
      <c r="N71" s="307"/>
    </row>
    <row r="72" spans="2:14" ht="90">
      <c r="B72" s="284" t="s">
        <v>612</v>
      </c>
      <c r="C72" s="294" t="s">
        <v>686</v>
      </c>
      <c r="D72" s="267" t="s">
        <v>684</v>
      </c>
      <c r="E72" s="271"/>
      <c r="F72" s="271"/>
      <c r="J72" s="316">
        <v>22.5</v>
      </c>
      <c r="K72" s="337">
        <f t="shared" si="0"/>
        <v>2.5</v>
      </c>
      <c r="L72" s="316">
        <v>22.5</v>
      </c>
      <c r="M72" s="342">
        <v>20</v>
      </c>
      <c r="N72" s="307"/>
    </row>
    <row r="73" spans="2:14" ht="126">
      <c r="B73" s="284" t="s">
        <v>612</v>
      </c>
      <c r="C73" s="294" t="s">
        <v>687</v>
      </c>
      <c r="D73" s="272" t="s">
        <v>664</v>
      </c>
      <c r="E73" s="271"/>
      <c r="F73" s="271"/>
      <c r="J73" s="316">
        <v>22.5</v>
      </c>
      <c r="K73" s="337">
        <f t="shared" si="0"/>
        <v>2.5</v>
      </c>
      <c r="L73" s="316">
        <v>22.5</v>
      </c>
      <c r="M73" s="342">
        <v>20</v>
      </c>
      <c r="N73" s="307"/>
    </row>
    <row r="74" spans="2:14" ht="126">
      <c r="B74" s="284" t="s">
        <v>612</v>
      </c>
      <c r="C74" s="294" t="s">
        <v>688</v>
      </c>
      <c r="D74" s="267" t="s">
        <v>665</v>
      </c>
      <c r="E74" s="271"/>
      <c r="F74" s="271"/>
      <c r="J74" s="316">
        <v>29.5</v>
      </c>
      <c r="K74" s="337">
        <f t="shared" si="0"/>
        <v>1.5</v>
      </c>
      <c r="L74" s="316">
        <v>29.5</v>
      </c>
      <c r="M74" s="342">
        <v>28</v>
      </c>
      <c r="N74" s="307"/>
    </row>
    <row r="75" spans="2:14" ht="162">
      <c r="B75" s="284" t="s">
        <v>612</v>
      </c>
      <c r="C75" s="294" t="s">
        <v>689</v>
      </c>
      <c r="D75" s="272" t="s">
        <v>666</v>
      </c>
      <c r="E75" s="271"/>
      <c r="F75" s="271"/>
      <c r="J75" s="316">
        <v>29.5</v>
      </c>
      <c r="K75" s="337">
        <f t="shared" si="0"/>
        <v>1.5</v>
      </c>
      <c r="L75" s="316">
        <v>29.5</v>
      </c>
      <c r="M75" s="342">
        <v>28</v>
      </c>
      <c r="N75" s="307"/>
    </row>
    <row r="76" spans="2:14" ht="90">
      <c r="B76" s="284" t="s">
        <v>612</v>
      </c>
      <c r="C76" s="294" t="s">
        <v>690</v>
      </c>
      <c r="D76" s="267" t="s">
        <v>667</v>
      </c>
      <c r="E76" s="271"/>
      <c r="F76" s="271"/>
      <c r="J76" s="316">
        <v>22</v>
      </c>
      <c r="K76" s="337">
        <f aca="true" t="shared" si="1" ref="K76:K127">J76-M76</f>
        <v>7</v>
      </c>
      <c r="L76" s="316">
        <v>22</v>
      </c>
      <c r="M76" s="342">
        <v>15</v>
      </c>
      <c r="N76" s="307"/>
    </row>
    <row r="77" spans="2:14" ht="126">
      <c r="B77" s="284" t="s">
        <v>612</v>
      </c>
      <c r="C77" s="294" t="s">
        <v>691</v>
      </c>
      <c r="D77" s="272" t="s">
        <v>668</v>
      </c>
      <c r="E77" s="271"/>
      <c r="F77" s="271"/>
      <c r="J77" s="316">
        <v>22</v>
      </c>
      <c r="K77" s="337">
        <f t="shared" si="1"/>
        <v>7</v>
      </c>
      <c r="L77" s="316">
        <v>22</v>
      </c>
      <c r="M77" s="342">
        <v>15</v>
      </c>
      <c r="N77" s="307"/>
    </row>
    <row r="78" spans="2:14" ht="108">
      <c r="B78" s="284" t="s">
        <v>612</v>
      </c>
      <c r="C78" s="294" t="s">
        <v>692</v>
      </c>
      <c r="D78" s="267" t="s">
        <v>669</v>
      </c>
      <c r="E78" s="271"/>
      <c r="F78" s="271"/>
      <c r="J78" s="316">
        <v>28</v>
      </c>
      <c r="K78" s="337">
        <f t="shared" si="1"/>
        <v>6</v>
      </c>
      <c r="L78" s="316">
        <v>28</v>
      </c>
      <c r="M78" s="342">
        <v>22</v>
      </c>
      <c r="N78" s="307"/>
    </row>
    <row r="79" spans="2:14" ht="144">
      <c r="B79" s="284" t="s">
        <v>612</v>
      </c>
      <c r="C79" s="294" t="s">
        <v>693</v>
      </c>
      <c r="D79" s="272" t="s">
        <v>670</v>
      </c>
      <c r="E79" s="271"/>
      <c r="F79" s="271"/>
      <c r="J79" s="316">
        <v>28</v>
      </c>
      <c r="K79" s="337">
        <f t="shared" si="1"/>
        <v>6</v>
      </c>
      <c r="L79" s="316">
        <v>28</v>
      </c>
      <c r="M79" s="342">
        <v>22</v>
      </c>
      <c r="N79" s="307"/>
    </row>
    <row r="80" spans="2:14" ht="108">
      <c r="B80" s="284" t="s">
        <v>612</v>
      </c>
      <c r="C80" s="294" t="s">
        <v>694</v>
      </c>
      <c r="D80" s="267" t="s">
        <v>671</v>
      </c>
      <c r="E80" s="271"/>
      <c r="F80" s="271"/>
      <c r="J80" s="316">
        <v>13.99</v>
      </c>
      <c r="K80" s="337">
        <f t="shared" si="1"/>
        <v>7.99</v>
      </c>
      <c r="L80" s="316">
        <v>13.99</v>
      </c>
      <c r="M80" s="342">
        <v>6</v>
      </c>
      <c r="N80" s="307"/>
    </row>
    <row r="81" spans="2:14" ht="180">
      <c r="B81" s="284" t="s">
        <v>612</v>
      </c>
      <c r="C81" s="294" t="s">
        <v>695</v>
      </c>
      <c r="D81" s="272" t="s">
        <v>672</v>
      </c>
      <c r="E81" s="271"/>
      <c r="F81" s="271"/>
      <c r="J81" s="316">
        <v>13.99</v>
      </c>
      <c r="K81" s="337">
        <f t="shared" si="1"/>
        <v>7.99</v>
      </c>
      <c r="L81" s="316">
        <v>13.99</v>
      </c>
      <c r="M81" s="342">
        <v>6</v>
      </c>
      <c r="N81" s="307"/>
    </row>
    <row r="82" spans="2:14" ht="90">
      <c r="B82" s="284" t="s">
        <v>612</v>
      </c>
      <c r="C82" s="294" t="s">
        <v>696</v>
      </c>
      <c r="D82" s="267" t="s">
        <v>673</v>
      </c>
      <c r="E82" s="271"/>
      <c r="F82" s="271"/>
      <c r="J82" s="316">
        <v>44</v>
      </c>
      <c r="K82" s="337">
        <f t="shared" si="1"/>
        <v>14</v>
      </c>
      <c r="L82" s="316">
        <v>44</v>
      </c>
      <c r="M82" s="342">
        <v>30</v>
      </c>
      <c r="N82" s="307"/>
    </row>
    <row r="83" spans="2:14" ht="126">
      <c r="B83" s="284" t="s">
        <v>612</v>
      </c>
      <c r="C83" s="294" t="s">
        <v>697</v>
      </c>
      <c r="D83" s="272" t="s">
        <v>674</v>
      </c>
      <c r="E83" s="271"/>
      <c r="F83" s="271"/>
      <c r="J83" s="316">
        <v>44</v>
      </c>
      <c r="K83" s="337">
        <f t="shared" si="1"/>
        <v>14</v>
      </c>
      <c r="L83" s="316">
        <v>44</v>
      </c>
      <c r="M83" s="342">
        <v>30</v>
      </c>
      <c r="N83" s="307"/>
    </row>
    <row r="84" spans="2:14" ht="108">
      <c r="B84" s="284" t="s">
        <v>612</v>
      </c>
      <c r="C84" s="294" t="s">
        <v>698</v>
      </c>
      <c r="D84" s="267" t="s">
        <v>675</v>
      </c>
      <c r="E84" s="271"/>
      <c r="F84" s="271"/>
      <c r="J84" s="316">
        <v>225</v>
      </c>
      <c r="K84" s="337">
        <f t="shared" si="1"/>
        <v>0</v>
      </c>
      <c r="L84" s="316">
        <v>225</v>
      </c>
      <c r="M84" s="342">
        <v>225</v>
      </c>
      <c r="N84" s="307"/>
    </row>
    <row r="85" spans="2:14" ht="144">
      <c r="B85" s="284" t="s">
        <v>612</v>
      </c>
      <c r="C85" s="294" t="s">
        <v>699</v>
      </c>
      <c r="D85" s="272" t="s">
        <v>676</v>
      </c>
      <c r="E85" s="271"/>
      <c r="F85" s="271"/>
      <c r="J85" s="316">
        <v>225</v>
      </c>
      <c r="K85" s="337">
        <f t="shared" si="1"/>
        <v>0</v>
      </c>
      <c r="L85" s="316">
        <v>225</v>
      </c>
      <c r="M85" s="342">
        <v>225</v>
      </c>
      <c r="N85" s="307"/>
    </row>
    <row r="86" spans="2:14" ht="54">
      <c r="B86" s="284" t="s">
        <v>612</v>
      </c>
      <c r="C86" s="294" t="s">
        <v>700</v>
      </c>
      <c r="D86" s="267" t="s">
        <v>677</v>
      </c>
      <c r="E86" s="271"/>
      <c r="F86" s="271"/>
      <c r="J86" s="316">
        <v>260</v>
      </c>
      <c r="K86" s="337">
        <f t="shared" si="1"/>
        <v>5</v>
      </c>
      <c r="L86" s="316">
        <v>260</v>
      </c>
      <c r="M86" s="342">
        <f>M87</f>
        <v>255</v>
      </c>
      <c r="N86" s="307"/>
    </row>
    <row r="87" spans="2:19" ht="90">
      <c r="B87" s="284" t="s">
        <v>612</v>
      </c>
      <c r="C87" s="294" t="s">
        <v>701</v>
      </c>
      <c r="D87" s="267" t="s">
        <v>663</v>
      </c>
      <c r="E87" s="271"/>
      <c r="F87" s="271"/>
      <c r="J87" s="316">
        <v>260</v>
      </c>
      <c r="K87" s="337">
        <f t="shared" si="1"/>
        <v>5</v>
      </c>
      <c r="L87" s="316">
        <v>260</v>
      </c>
      <c r="M87" s="342">
        <v>255</v>
      </c>
      <c r="N87" s="307"/>
      <c r="S87" s="56" t="s">
        <v>388</v>
      </c>
    </row>
    <row r="88" spans="2:14" ht="36">
      <c r="B88" s="284" t="s">
        <v>612</v>
      </c>
      <c r="C88" s="294" t="s">
        <v>702</v>
      </c>
      <c r="D88" s="267" t="s">
        <v>678</v>
      </c>
      <c r="E88" s="271"/>
      <c r="F88" s="271"/>
      <c r="J88" s="316">
        <f>J89+J91</f>
        <v>850</v>
      </c>
      <c r="K88" s="337">
        <f t="shared" si="1"/>
        <v>30</v>
      </c>
      <c r="L88" s="316">
        <f>L89+L91</f>
        <v>850</v>
      </c>
      <c r="M88" s="342">
        <f>M89+M91</f>
        <v>820</v>
      </c>
      <c r="N88" s="307"/>
    </row>
    <row r="89" spans="2:14" ht="108">
      <c r="B89" s="284" t="s">
        <v>612</v>
      </c>
      <c r="C89" s="294" t="s">
        <v>703</v>
      </c>
      <c r="D89" s="267" t="s">
        <v>679</v>
      </c>
      <c r="E89" s="271"/>
      <c r="F89" s="271"/>
      <c r="J89" s="316">
        <v>270</v>
      </c>
      <c r="K89" s="337">
        <f t="shared" si="1"/>
        <v>10</v>
      </c>
      <c r="L89" s="316">
        <v>270</v>
      </c>
      <c r="M89" s="342">
        <v>260</v>
      </c>
      <c r="N89" s="307"/>
    </row>
    <row r="90" spans="2:14" ht="90">
      <c r="B90" s="284" t="s">
        <v>612</v>
      </c>
      <c r="C90" s="294" t="s">
        <v>704</v>
      </c>
      <c r="D90" s="267" t="s">
        <v>680</v>
      </c>
      <c r="E90" s="271"/>
      <c r="F90" s="271"/>
      <c r="J90" s="316">
        <v>270</v>
      </c>
      <c r="K90" s="337">
        <f t="shared" si="1"/>
        <v>10</v>
      </c>
      <c r="L90" s="316">
        <v>270</v>
      </c>
      <c r="M90" s="342">
        <v>260</v>
      </c>
      <c r="N90" s="307"/>
    </row>
    <row r="91" spans="2:14" ht="18">
      <c r="B91" s="284" t="s">
        <v>612</v>
      </c>
      <c r="C91" s="294" t="s">
        <v>705</v>
      </c>
      <c r="D91" s="267" t="s">
        <v>681</v>
      </c>
      <c r="E91" s="271"/>
      <c r="F91" s="271"/>
      <c r="J91" s="316">
        <f>J92</f>
        <v>580</v>
      </c>
      <c r="K91" s="337">
        <f t="shared" si="1"/>
        <v>20</v>
      </c>
      <c r="L91" s="316">
        <f>L92</f>
        <v>580</v>
      </c>
      <c r="M91" s="342">
        <f>M92</f>
        <v>560</v>
      </c>
      <c r="N91" s="307"/>
    </row>
    <row r="92" spans="2:14" ht="162">
      <c r="B92" s="284" t="s">
        <v>612</v>
      </c>
      <c r="C92" s="294" t="s">
        <v>706</v>
      </c>
      <c r="D92" s="272" t="s">
        <v>682</v>
      </c>
      <c r="E92" s="271"/>
      <c r="F92" s="271"/>
      <c r="J92" s="316">
        <v>580</v>
      </c>
      <c r="K92" s="337">
        <f t="shared" si="1"/>
        <v>20</v>
      </c>
      <c r="L92" s="316">
        <v>580</v>
      </c>
      <c r="M92" s="342">
        <v>560</v>
      </c>
      <c r="N92" s="307"/>
    </row>
    <row r="93" spans="2:14" ht="18">
      <c r="B93" s="284" t="s">
        <v>566</v>
      </c>
      <c r="C93" s="293" t="s">
        <v>610</v>
      </c>
      <c r="D93" s="269" t="s">
        <v>76</v>
      </c>
      <c r="E93" s="271" t="e">
        <f>F93-'[1]черн'!Z106</f>
        <v>#REF!</v>
      </c>
      <c r="F93" s="271" t="e">
        <f>F94</f>
        <v>#REF!</v>
      </c>
      <c r="J93" s="271">
        <f>J94</f>
        <v>601007.7000000002</v>
      </c>
      <c r="K93" s="337">
        <f t="shared" si="1"/>
        <v>3846.8000000002794</v>
      </c>
      <c r="L93" s="277">
        <f>L94</f>
        <v>646064.2000000002</v>
      </c>
      <c r="M93" s="343">
        <f>M94</f>
        <v>597160.8999999999</v>
      </c>
      <c r="N93" s="307"/>
    </row>
    <row r="94" spans="2:13" ht="35.25">
      <c r="B94" s="284" t="s">
        <v>566</v>
      </c>
      <c r="C94" s="293" t="s">
        <v>611</v>
      </c>
      <c r="D94" s="269" t="s">
        <v>77</v>
      </c>
      <c r="E94" s="271" t="e">
        <f>F94-'[1]черн'!Z107</f>
        <v>#REF!</v>
      </c>
      <c r="F94" s="271" t="e">
        <f>F95+F98+F114+#REF!</f>
        <v>#REF!</v>
      </c>
      <c r="J94" s="271">
        <f>J95+J98+J113+J122</f>
        <v>601007.7000000002</v>
      </c>
      <c r="K94" s="337">
        <f t="shared" si="1"/>
        <v>3846.8000000002794</v>
      </c>
      <c r="L94" s="277">
        <f>L95+L98+L113+L122</f>
        <v>646064.2000000002</v>
      </c>
      <c r="M94" s="343">
        <f>M95+M98+M113+M122</f>
        <v>597160.8999999999</v>
      </c>
    </row>
    <row r="95" spans="2:13" ht="35.25">
      <c r="B95" s="284" t="s">
        <v>566</v>
      </c>
      <c r="C95" s="293" t="s">
        <v>645</v>
      </c>
      <c r="D95" s="269" t="s">
        <v>78</v>
      </c>
      <c r="E95" s="271" t="e">
        <f>F95-'[1]черн'!Z108</f>
        <v>#REF!</v>
      </c>
      <c r="F95" s="271">
        <f>F96</f>
        <v>136746.2</v>
      </c>
      <c r="J95" s="271">
        <f>J96</f>
        <v>223346</v>
      </c>
      <c r="K95" s="337">
        <f t="shared" si="1"/>
        <v>14234.200000000012</v>
      </c>
      <c r="L95" s="277">
        <f>L96</f>
        <v>223346</v>
      </c>
      <c r="M95" s="343">
        <f>M96</f>
        <v>209111.8</v>
      </c>
    </row>
    <row r="96" spans="2:13" ht="36">
      <c r="B96" s="284" t="s">
        <v>566</v>
      </c>
      <c r="C96" s="293" t="s">
        <v>647</v>
      </c>
      <c r="D96" s="267" t="s">
        <v>79</v>
      </c>
      <c r="E96" s="271" t="e">
        <f>F96-'[1]черн'!Z109</f>
        <v>#REF!</v>
      </c>
      <c r="F96" s="277">
        <f>F97</f>
        <v>136746.2</v>
      </c>
      <c r="G96" s="265"/>
      <c r="H96" s="68"/>
      <c r="I96" s="68"/>
      <c r="J96" s="271">
        <f>J97</f>
        <v>223346</v>
      </c>
      <c r="K96" s="337">
        <f t="shared" si="1"/>
        <v>14234.200000000012</v>
      </c>
      <c r="L96" s="277">
        <f>L97</f>
        <v>223346</v>
      </c>
      <c r="M96" s="343">
        <f>M97</f>
        <v>209111.8</v>
      </c>
    </row>
    <row r="97" spans="2:13" ht="36">
      <c r="B97" s="284" t="s">
        <v>566</v>
      </c>
      <c r="C97" s="294" t="s">
        <v>646</v>
      </c>
      <c r="D97" s="267" t="s">
        <v>80</v>
      </c>
      <c r="E97" s="271">
        <f>F97-'[1]черн'!Z110</f>
        <v>123316.70000000001</v>
      </c>
      <c r="F97" s="277">
        <v>136746.2</v>
      </c>
      <c r="G97" s="265"/>
      <c r="H97" s="68"/>
      <c r="I97" s="264"/>
      <c r="J97" s="271">
        <v>223346</v>
      </c>
      <c r="K97" s="337">
        <f t="shared" si="1"/>
        <v>14234.200000000012</v>
      </c>
      <c r="L97" s="277">
        <v>223346</v>
      </c>
      <c r="M97" s="343">
        <v>209111.8</v>
      </c>
    </row>
    <row r="98" spans="2:13" ht="52.5">
      <c r="B98" s="284" t="s">
        <v>566</v>
      </c>
      <c r="C98" s="299" t="s">
        <v>648</v>
      </c>
      <c r="D98" s="278" t="s">
        <v>83</v>
      </c>
      <c r="E98" s="271" t="e">
        <f>F98-'[1]черн'!Z113</f>
        <v>#REF!</v>
      </c>
      <c r="F98" s="277" t="e">
        <f>#REF!+#REF!</f>
        <v>#REF!</v>
      </c>
      <c r="G98" s="265"/>
      <c r="H98" s="68"/>
      <c r="I98" s="68"/>
      <c r="J98" s="271">
        <f>J99+J101+J103+J105+J107+J109+J111</f>
        <v>25364.5</v>
      </c>
      <c r="K98" s="337">
        <f t="shared" si="1"/>
        <v>-62715.399999999994</v>
      </c>
      <c r="L98" s="277">
        <f>L101+L103+L105+L107+L111</f>
        <v>25200.2</v>
      </c>
      <c r="M98" s="343">
        <f>M99+M101+M103+M105+M107+M109+M111</f>
        <v>88079.9</v>
      </c>
    </row>
    <row r="99" spans="2:13" ht="72" hidden="1">
      <c r="B99" s="284" t="s">
        <v>566</v>
      </c>
      <c r="C99" s="294" t="s">
        <v>630</v>
      </c>
      <c r="D99" s="267" t="s">
        <v>619</v>
      </c>
      <c r="E99" s="271"/>
      <c r="F99" s="271"/>
      <c r="G99" s="237"/>
      <c r="H99" s="237"/>
      <c r="I99" s="237"/>
      <c r="J99" s="271">
        <v>0</v>
      </c>
      <c r="K99" s="337">
        <f t="shared" si="1"/>
        <v>0</v>
      </c>
      <c r="L99" s="277">
        <v>0</v>
      </c>
      <c r="M99" s="343">
        <v>0</v>
      </c>
    </row>
    <row r="100" spans="2:13" ht="72" hidden="1">
      <c r="B100" s="284" t="s">
        <v>566</v>
      </c>
      <c r="C100" s="294" t="s">
        <v>631</v>
      </c>
      <c r="D100" s="267" t="s">
        <v>618</v>
      </c>
      <c r="E100" s="271"/>
      <c r="F100" s="271"/>
      <c r="G100" s="237"/>
      <c r="H100" s="237"/>
      <c r="I100" s="237"/>
      <c r="J100" s="271">
        <v>0</v>
      </c>
      <c r="K100" s="337">
        <f t="shared" si="1"/>
        <v>0</v>
      </c>
      <c r="L100" s="277">
        <v>0</v>
      </c>
      <c r="M100" s="343">
        <v>0</v>
      </c>
    </row>
    <row r="101" spans="2:13" ht="72">
      <c r="B101" s="284" t="s">
        <v>566</v>
      </c>
      <c r="C101" s="294" t="s">
        <v>711</v>
      </c>
      <c r="D101" s="267" t="s">
        <v>707</v>
      </c>
      <c r="E101" s="271"/>
      <c r="F101" s="271"/>
      <c r="G101" s="237"/>
      <c r="H101" s="237"/>
      <c r="I101" s="237"/>
      <c r="J101" s="271">
        <v>16948</v>
      </c>
      <c r="K101" s="337">
        <f t="shared" si="1"/>
        <v>-1722.4000000000015</v>
      </c>
      <c r="L101" s="277">
        <v>16742.1</v>
      </c>
      <c r="M101" s="343">
        <v>18670.4</v>
      </c>
    </row>
    <row r="102" spans="2:13" ht="90">
      <c r="B102" s="284" t="s">
        <v>709</v>
      </c>
      <c r="C102" s="294" t="s">
        <v>710</v>
      </c>
      <c r="D102" s="267" t="s">
        <v>708</v>
      </c>
      <c r="E102" s="271"/>
      <c r="F102" s="271"/>
      <c r="G102" s="237"/>
      <c r="H102" s="237"/>
      <c r="I102" s="237"/>
      <c r="J102" s="271">
        <v>16948</v>
      </c>
      <c r="K102" s="337">
        <f t="shared" si="1"/>
        <v>-1722.4000000000015</v>
      </c>
      <c r="L102" s="277">
        <v>16742.1</v>
      </c>
      <c r="M102" s="343">
        <v>18670.4</v>
      </c>
    </row>
    <row r="103" spans="2:13" ht="72">
      <c r="B103" s="284" t="s">
        <v>566</v>
      </c>
      <c r="C103" s="296" t="s">
        <v>634</v>
      </c>
      <c r="D103" s="267" t="s">
        <v>632</v>
      </c>
      <c r="E103" s="271"/>
      <c r="F103" s="271"/>
      <c r="G103" s="237"/>
      <c r="H103" s="237"/>
      <c r="I103" s="237"/>
      <c r="J103" s="271">
        <v>523.7</v>
      </c>
      <c r="K103" s="337">
        <f t="shared" si="1"/>
        <v>-42.09999999999991</v>
      </c>
      <c r="L103" s="277">
        <v>534.7</v>
      </c>
      <c r="M103" s="343">
        <v>565.8</v>
      </c>
    </row>
    <row r="104" spans="2:13" ht="72">
      <c r="B104" s="284" t="s">
        <v>566</v>
      </c>
      <c r="C104" s="296" t="s">
        <v>635</v>
      </c>
      <c r="D104" s="267" t="s">
        <v>633</v>
      </c>
      <c r="E104" s="271"/>
      <c r="F104" s="271"/>
      <c r="G104" s="237"/>
      <c r="H104" s="237"/>
      <c r="I104" s="237"/>
      <c r="J104" s="271">
        <v>523.7</v>
      </c>
      <c r="K104" s="337">
        <f t="shared" si="1"/>
        <v>-42.09999999999991</v>
      </c>
      <c r="L104" s="277">
        <v>534.7</v>
      </c>
      <c r="M104" s="343">
        <v>565.8</v>
      </c>
    </row>
    <row r="105" spans="2:13" ht="36">
      <c r="B105" s="284" t="s">
        <v>566</v>
      </c>
      <c r="C105" s="296" t="s">
        <v>638</v>
      </c>
      <c r="D105" s="267" t="s">
        <v>636</v>
      </c>
      <c r="E105" s="271"/>
      <c r="F105" s="271"/>
      <c r="G105" s="237"/>
      <c r="H105" s="237"/>
      <c r="I105" s="237"/>
      <c r="J105" s="271">
        <v>2149.1</v>
      </c>
      <c r="K105" s="337">
        <f t="shared" si="1"/>
        <v>-1095.1</v>
      </c>
      <c r="L105" s="277">
        <v>2178.4</v>
      </c>
      <c r="M105" s="343">
        <v>3244.2</v>
      </c>
    </row>
    <row r="106" spans="2:13" ht="54">
      <c r="B106" s="284" t="s">
        <v>566</v>
      </c>
      <c r="C106" s="296" t="s">
        <v>639</v>
      </c>
      <c r="D106" s="267" t="s">
        <v>637</v>
      </c>
      <c r="E106" s="271"/>
      <c r="F106" s="271"/>
      <c r="G106" s="237"/>
      <c r="H106" s="237"/>
      <c r="I106" s="237"/>
      <c r="J106" s="271">
        <v>2149.1</v>
      </c>
      <c r="K106" s="337">
        <f t="shared" si="1"/>
        <v>-1095.1</v>
      </c>
      <c r="L106" s="277">
        <v>2178.4</v>
      </c>
      <c r="M106" s="343">
        <v>3244.2</v>
      </c>
    </row>
    <row r="107" spans="2:13" ht="36">
      <c r="B107" s="284" t="s">
        <v>566</v>
      </c>
      <c r="C107" s="296" t="s">
        <v>662</v>
      </c>
      <c r="D107" s="267" t="s">
        <v>661</v>
      </c>
      <c r="E107" s="271"/>
      <c r="F107" s="271"/>
      <c r="G107" s="237"/>
      <c r="H107" s="237"/>
      <c r="I107" s="237"/>
      <c r="J107" s="271">
        <v>46</v>
      </c>
      <c r="K107" s="337">
        <f t="shared" si="1"/>
        <v>-11.799999999999997</v>
      </c>
      <c r="L107" s="277">
        <v>47.3</v>
      </c>
      <c r="M107" s="343">
        <v>57.8</v>
      </c>
    </row>
    <row r="108" spans="2:13" ht="36">
      <c r="B108" s="284" t="s">
        <v>566</v>
      </c>
      <c r="C108" s="296" t="s">
        <v>660</v>
      </c>
      <c r="D108" s="267" t="s">
        <v>659</v>
      </c>
      <c r="E108" s="271"/>
      <c r="F108" s="271"/>
      <c r="G108" s="237"/>
      <c r="H108" s="237"/>
      <c r="I108" s="237"/>
      <c r="J108" s="271">
        <v>46</v>
      </c>
      <c r="K108" s="337">
        <f t="shared" si="1"/>
        <v>-11.799999999999997</v>
      </c>
      <c r="L108" s="277">
        <v>47.3</v>
      </c>
      <c r="M108" s="343">
        <v>57.8</v>
      </c>
    </row>
    <row r="109" spans="2:13" ht="36" hidden="1">
      <c r="B109" s="284" t="s">
        <v>566</v>
      </c>
      <c r="C109" s="288" t="s">
        <v>726</v>
      </c>
      <c r="D109" s="267" t="s">
        <v>727</v>
      </c>
      <c r="E109" s="271"/>
      <c r="F109" s="271"/>
      <c r="G109" s="237"/>
      <c r="H109" s="237"/>
      <c r="I109" s="237"/>
      <c r="J109" s="271"/>
      <c r="K109" s="337">
        <f t="shared" si="1"/>
        <v>0</v>
      </c>
      <c r="L109" s="277"/>
      <c r="M109" s="343"/>
    </row>
    <row r="110" spans="2:13" ht="54" hidden="1">
      <c r="B110" s="284" t="s">
        <v>566</v>
      </c>
      <c r="C110" s="288" t="s">
        <v>728</v>
      </c>
      <c r="D110" s="267" t="s">
        <v>729</v>
      </c>
      <c r="E110" s="271"/>
      <c r="F110" s="271"/>
      <c r="G110" s="237"/>
      <c r="H110" s="237"/>
      <c r="I110" s="237"/>
      <c r="J110" s="271"/>
      <c r="K110" s="337">
        <f t="shared" si="1"/>
        <v>0</v>
      </c>
      <c r="L110" s="277"/>
      <c r="M110" s="343"/>
    </row>
    <row r="111" spans="2:13" ht="18">
      <c r="B111" s="284" t="s">
        <v>566</v>
      </c>
      <c r="C111" s="294" t="s">
        <v>643</v>
      </c>
      <c r="D111" s="267" t="s">
        <v>466</v>
      </c>
      <c r="E111" s="271"/>
      <c r="F111" s="271"/>
      <c r="G111" s="237"/>
      <c r="H111" s="237"/>
      <c r="I111" s="237"/>
      <c r="J111" s="271">
        <f>J112</f>
        <v>5697.7</v>
      </c>
      <c r="K111" s="337">
        <f t="shared" si="1"/>
        <v>-59844</v>
      </c>
      <c r="L111" s="277">
        <f>L112</f>
        <v>5697.7</v>
      </c>
      <c r="M111" s="343">
        <f>M112</f>
        <v>65541.7</v>
      </c>
    </row>
    <row r="112" spans="2:13" ht="36">
      <c r="B112" s="284" t="s">
        <v>566</v>
      </c>
      <c r="C112" s="294" t="s">
        <v>642</v>
      </c>
      <c r="D112" s="267" t="s">
        <v>467</v>
      </c>
      <c r="E112" s="271"/>
      <c r="F112" s="271"/>
      <c r="G112" s="237"/>
      <c r="H112" s="237"/>
      <c r="I112" s="237"/>
      <c r="J112" s="271">
        <f>2491.2+416+657.4+2133.1</f>
        <v>5697.7</v>
      </c>
      <c r="K112" s="337">
        <f t="shared" si="1"/>
        <v>-59844</v>
      </c>
      <c r="L112" s="277">
        <f>2491.2+416+657.4+2133.1</f>
        <v>5697.7</v>
      </c>
      <c r="M112" s="343">
        <f>38022.1+25878.9+1640.7</f>
        <v>65541.7</v>
      </c>
    </row>
    <row r="113" spans="2:14" ht="35.25">
      <c r="B113" s="284" t="s">
        <v>566</v>
      </c>
      <c r="C113" s="294" t="s">
        <v>641</v>
      </c>
      <c r="D113" s="269" t="s">
        <v>624</v>
      </c>
      <c r="E113" s="271" t="e">
        <f>F113-'[1]черн'!Z151</f>
        <v>#VALUE!</v>
      </c>
      <c r="F113" s="271">
        <f>3620.7+665.7</f>
        <v>4286.4</v>
      </c>
      <c r="J113" s="313">
        <f>J114+J116+J118+J120</f>
        <v>323099.2000000001</v>
      </c>
      <c r="K113" s="337">
        <f t="shared" si="1"/>
        <v>50225.80000000016</v>
      </c>
      <c r="L113" s="277">
        <f>L114+L116+L118+L120</f>
        <v>367713.2000000002</v>
      </c>
      <c r="M113" s="344">
        <f>M115+M116+M118+M121</f>
        <v>272873.39999999997</v>
      </c>
      <c r="N113" s="307"/>
    </row>
    <row r="114" spans="2:14" ht="54">
      <c r="B114" s="284" t="s">
        <v>566</v>
      </c>
      <c r="C114" s="294" t="s">
        <v>658</v>
      </c>
      <c r="D114" s="267" t="s">
        <v>625</v>
      </c>
      <c r="E114" s="271" t="e">
        <f>F114-'[1]черн'!Z152</f>
        <v>#REF!</v>
      </c>
      <c r="F114" s="271" t="e">
        <f>#REF!+#REF!+#REF!+#REF!+#REF!</f>
        <v>#REF!</v>
      </c>
      <c r="J114" s="313">
        <f>J115</f>
        <v>318433.3000000001</v>
      </c>
      <c r="K114" s="337">
        <f t="shared" si="1"/>
        <v>53827.50000000012</v>
      </c>
      <c r="L114" s="277">
        <f>L115</f>
        <v>360925.2000000001</v>
      </c>
      <c r="M114" s="344">
        <f>M115</f>
        <v>264605.8</v>
      </c>
      <c r="N114" s="307"/>
    </row>
    <row r="115" spans="2:14" ht="54">
      <c r="B115" s="284" t="s">
        <v>566</v>
      </c>
      <c r="C115" s="294" t="s">
        <v>640</v>
      </c>
      <c r="D115" s="267" t="s">
        <v>408</v>
      </c>
      <c r="E115" s="271" t="e">
        <f>F115-'[1]черн'!Y153</f>
        <v>#VALUE!</v>
      </c>
      <c r="F115" s="271" t="s">
        <v>388</v>
      </c>
      <c r="J115" s="313">
        <f>262218.5+2938.2+286+284.4+4827.7+64.9+107.2+3366.6+1040.7+17850.6+24881.3+102.9+396.9+67.4</f>
        <v>318433.3000000001</v>
      </c>
      <c r="K115" s="337">
        <f t="shared" si="1"/>
        <v>53827.50000000012</v>
      </c>
      <c r="L115" s="277">
        <f>304710.4+2938.2+286+284.4+4827.7+64.9+107.2+3366.6+1040.7+17850.6+24881.3+102.9+396.9+67.4</f>
        <v>360925.2000000001</v>
      </c>
      <c r="M115" s="344">
        <v>264605.8</v>
      </c>
      <c r="N115" s="307"/>
    </row>
    <row r="116" spans="2:14" ht="108">
      <c r="B116" s="284" t="s">
        <v>566</v>
      </c>
      <c r="C116" s="294" t="s">
        <v>649</v>
      </c>
      <c r="D116" s="267" t="s">
        <v>626</v>
      </c>
      <c r="E116" s="271" t="e">
        <f>F116-'[1]черн'!Y155</f>
        <v>#VALUE!</v>
      </c>
      <c r="F116" s="271"/>
      <c r="J116" s="313">
        <v>4660.9</v>
      </c>
      <c r="K116" s="337">
        <f t="shared" si="1"/>
        <v>-1634.2000000000007</v>
      </c>
      <c r="L116" s="277">
        <v>4660.9</v>
      </c>
      <c r="M116" s="344">
        <v>6295.1</v>
      </c>
      <c r="N116" s="307"/>
    </row>
    <row r="117" spans="2:14" ht="108">
      <c r="B117" s="284" t="s">
        <v>566</v>
      </c>
      <c r="C117" s="294" t="s">
        <v>650</v>
      </c>
      <c r="D117" s="267" t="s">
        <v>627</v>
      </c>
      <c r="E117" s="271" t="e">
        <f>F117-'[1]черн'!Y156</f>
        <v>#REF!</v>
      </c>
      <c r="F117" s="271"/>
      <c r="J117" s="313">
        <f>J116</f>
        <v>4660.9</v>
      </c>
      <c r="K117" s="337">
        <f t="shared" si="1"/>
        <v>-1634.2000000000007</v>
      </c>
      <c r="L117" s="277">
        <v>4660.9</v>
      </c>
      <c r="M117" s="344">
        <f>M116</f>
        <v>6295.1</v>
      </c>
      <c r="N117" s="307"/>
    </row>
    <row r="118" spans="2:14" ht="72">
      <c r="B118" s="284" t="s">
        <v>566</v>
      </c>
      <c r="C118" s="300" t="s">
        <v>651</v>
      </c>
      <c r="D118" s="267" t="s">
        <v>629</v>
      </c>
      <c r="E118" s="271"/>
      <c r="F118" s="271"/>
      <c r="J118" s="313">
        <v>5</v>
      </c>
      <c r="K118" s="337">
        <f t="shared" si="1"/>
        <v>3.6</v>
      </c>
      <c r="L118" s="277">
        <v>81.4</v>
      </c>
      <c r="M118" s="344">
        <v>1.4</v>
      </c>
      <c r="N118" s="307"/>
    </row>
    <row r="119" spans="2:14" ht="90">
      <c r="B119" s="284" t="s">
        <v>566</v>
      </c>
      <c r="C119" s="300" t="s">
        <v>652</v>
      </c>
      <c r="D119" s="267" t="s">
        <v>628</v>
      </c>
      <c r="E119" s="271"/>
      <c r="F119" s="271"/>
      <c r="J119" s="313">
        <v>5</v>
      </c>
      <c r="K119" s="337">
        <f t="shared" si="1"/>
        <v>3.6</v>
      </c>
      <c r="L119" s="277">
        <v>81.4</v>
      </c>
      <c r="M119" s="344">
        <v>1.4</v>
      </c>
      <c r="N119" s="307"/>
    </row>
    <row r="120" spans="2:14" ht="126">
      <c r="B120" s="284" t="s">
        <v>566</v>
      </c>
      <c r="C120" s="300" t="s">
        <v>718</v>
      </c>
      <c r="D120" s="267" t="s">
        <v>717</v>
      </c>
      <c r="E120" s="271"/>
      <c r="F120" s="271"/>
      <c r="J120" s="313">
        <v>0</v>
      </c>
      <c r="K120" s="337">
        <f t="shared" si="1"/>
        <v>-1971.1</v>
      </c>
      <c r="L120" s="277">
        <v>2045.7</v>
      </c>
      <c r="M120" s="344">
        <v>1971.1</v>
      </c>
      <c r="N120" s="307"/>
    </row>
    <row r="121" spans="2:14" ht="144">
      <c r="B121" s="284"/>
      <c r="C121" s="300" t="s">
        <v>719</v>
      </c>
      <c r="D121" s="267" t="s">
        <v>716</v>
      </c>
      <c r="E121" s="271"/>
      <c r="F121" s="271"/>
      <c r="J121" s="313">
        <v>0</v>
      </c>
      <c r="K121" s="337">
        <f t="shared" si="1"/>
        <v>-1971.1</v>
      </c>
      <c r="L121" s="277">
        <v>2045.7</v>
      </c>
      <c r="M121" s="344">
        <v>1971.1</v>
      </c>
      <c r="N121" s="307"/>
    </row>
    <row r="122" spans="2:14" ht="18">
      <c r="B122" s="284" t="s">
        <v>566</v>
      </c>
      <c r="C122" s="300" t="s">
        <v>655</v>
      </c>
      <c r="D122" s="267" t="s">
        <v>438</v>
      </c>
      <c r="E122" s="271"/>
      <c r="F122" s="271"/>
      <c r="J122" s="271">
        <f>J123+J125</f>
        <v>29198</v>
      </c>
      <c r="K122" s="337">
        <f t="shared" si="1"/>
        <v>2102.2000000000007</v>
      </c>
      <c r="L122" s="277">
        <f>L123+L125</f>
        <v>29804.8</v>
      </c>
      <c r="M122" s="343">
        <f>M123+M125</f>
        <v>27095.8</v>
      </c>
      <c r="N122" s="307"/>
    </row>
    <row r="123" spans="2:14" ht="90">
      <c r="B123" s="284" t="s">
        <v>566</v>
      </c>
      <c r="C123" s="300" t="s">
        <v>714</v>
      </c>
      <c r="D123" s="267" t="s">
        <v>712</v>
      </c>
      <c r="E123" s="271"/>
      <c r="F123" s="271"/>
      <c r="J123" s="271">
        <f>J124</f>
        <v>25897.2</v>
      </c>
      <c r="K123" s="337">
        <f t="shared" si="1"/>
        <v>-1198.5999999999985</v>
      </c>
      <c r="L123" s="277">
        <v>25898.3</v>
      </c>
      <c r="M123" s="343">
        <f>M124</f>
        <v>27095.8</v>
      </c>
      <c r="N123" s="307"/>
    </row>
    <row r="124" spans="2:14" ht="90">
      <c r="B124" s="284" t="s">
        <v>566</v>
      </c>
      <c r="C124" s="300" t="s">
        <v>715</v>
      </c>
      <c r="D124" s="267" t="s">
        <v>713</v>
      </c>
      <c r="E124" s="271"/>
      <c r="F124" s="271"/>
      <c r="J124" s="271">
        <v>25897.2</v>
      </c>
      <c r="K124" s="337">
        <f t="shared" si="1"/>
        <v>-1198.5999999999985</v>
      </c>
      <c r="L124" s="277">
        <v>25898.3</v>
      </c>
      <c r="M124" s="343">
        <v>27095.8</v>
      </c>
      <c r="N124" s="307"/>
    </row>
    <row r="125" spans="2:14" ht="36">
      <c r="B125" s="284" t="s">
        <v>566</v>
      </c>
      <c r="C125" s="300" t="s">
        <v>783</v>
      </c>
      <c r="D125" s="267" t="s">
        <v>781</v>
      </c>
      <c r="E125" s="271"/>
      <c r="F125" s="271"/>
      <c r="J125" s="271">
        <v>3300.8</v>
      </c>
      <c r="K125" s="337">
        <f t="shared" si="1"/>
        <v>3300.8</v>
      </c>
      <c r="L125" s="277">
        <v>3906.5</v>
      </c>
      <c r="M125" s="343">
        <v>0</v>
      </c>
      <c r="N125" s="307"/>
    </row>
    <row r="126" spans="2:14" ht="36">
      <c r="B126" s="284" t="s">
        <v>566</v>
      </c>
      <c r="C126" s="300" t="s">
        <v>784</v>
      </c>
      <c r="D126" s="267" t="s">
        <v>782</v>
      </c>
      <c r="E126" s="271"/>
      <c r="F126" s="271"/>
      <c r="J126" s="271">
        <v>3300.8</v>
      </c>
      <c r="K126" s="337">
        <f t="shared" si="1"/>
        <v>3300.8</v>
      </c>
      <c r="L126" s="277">
        <v>3906.5</v>
      </c>
      <c r="M126" s="343">
        <v>0</v>
      </c>
      <c r="N126" s="307"/>
    </row>
    <row r="127" spans="2:14" ht="18">
      <c r="B127" s="284"/>
      <c r="C127" s="293"/>
      <c r="D127" s="269" t="s">
        <v>258</v>
      </c>
      <c r="E127" s="271" t="e">
        <f>F127-черн!Z229</f>
        <v>#REF!</v>
      </c>
      <c r="F127" s="271" t="e">
        <f>F11+F93</f>
        <v>#REF!</v>
      </c>
      <c r="J127" s="271">
        <f>J11+J93</f>
        <v>722337.1760000002</v>
      </c>
      <c r="K127" s="337">
        <f t="shared" si="1"/>
        <v>4500.63600000029</v>
      </c>
      <c r="L127" s="277">
        <f>L11+L93</f>
        <v>768671.9200000002</v>
      </c>
      <c r="M127" s="343">
        <f>M11+M93</f>
        <v>717836.5399999999</v>
      </c>
      <c r="N127" s="307"/>
    </row>
    <row r="128" ht="18">
      <c r="K128" s="322"/>
    </row>
  </sheetData>
  <sheetProtection/>
  <mergeCells count="11">
    <mergeCell ref="H1:I1"/>
    <mergeCell ref="K9:K10"/>
    <mergeCell ref="B6:L6"/>
    <mergeCell ref="L9:L10"/>
    <mergeCell ref="J1:L1"/>
    <mergeCell ref="B9:B10"/>
    <mergeCell ref="C9:C10"/>
    <mergeCell ref="D9:D10"/>
    <mergeCell ref="E9:F9"/>
    <mergeCell ref="G9:J10"/>
    <mergeCell ref="E1:G1"/>
  </mergeCells>
  <printOptions/>
  <pageMargins left="0.7086614173228347" right="0.7086614173228347" top="0.7480314960629921" bottom="0.7480314960629921" header="0.31496062992125984" footer="0.31496062992125984"/>
  <pageSetup fitToHeight="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Управуление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Финотд</cp:lastModifiedBy>
  <cp:lastPrinted>2023-11-09T09:49:10Z</cp:lastPrinted>
  <dcterms:created xsi:type="dcterms:W3CDTF">2008-11-09T14:04:37Z</dcterms:created>
  <dcterms:modified xsi:type="dcterms:W3CDTF">2023-11-09T09:50:52Z</dcterms:modified>
  <cp:category/>
  <cp:version/>
  <cp:contentType/>
  <cp:contentStatus/>
</cp:coreProperties>
</file>